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9995" windowHeight="10485" activeTab="1"/>
  </bookViews>
  <sheets>
    <sheet name="Contents" sheetId="6" r:id="rId1"/>
    <sheet name="Table 2" sheetId="1" r:id="rId2"/>
    <sheet name="Negative" sheetId="8" r:id="rId3"/>
    <sheet name="Table 3" sheetId="11" r:id="rId4"/>
    <sheet name="GF Table 4" sheetId="12" r:id="rId5"/>
    <sheet name="Table4 Check" sheetId="13" r:id="rId6"/>
    <sheet name="GF v CT" sheetId="15" r:id="rId7"/>
  </sheets>
  <definedNames>
    <definedName name="Aj" localSheetId="6">'GF v CT'!$J$13</definedName>
    <definedName name="Aj" localSheetId="2">Negative!$J$12</definedName>
    <definedName name="Aj" localSheetId="1">'Table 2'!$J$12</definedName>
    <definedName name="Aj" localSheetId="3">'Table 3'!$K$12</definedName>
    <definedName name="Aj">#REF!</definedName>
    <definedName name="Ajx">#REF!</definedName>
    <definedName name="b" localSheetId="6">#REF!</definedName>
    <definedName name="b">#REF!</definedName>
    <definedName name="Bene" localSheetId="6">#REF!</definedName>
    <definedName name="Bene">#REF!</definedName>
    <definedName name="bj" localSheetId="4">'GF Table 4'!$I$6</definedName>
    <definedName name="bj" localSheetId="6">'GF v CT'!$D$5</definedName>
    <definedName name="bj" localSheetId="2">Negative!$D$5</definedName>
    <definedName name="bj" localSheetId="1">'Table 2'!$D$5</definedName>
    <definedName name="bj" localSheetId="3">'Table 3'!$D$5</definedName>
    <definedName name="bj">#REF!</definedName>
    <definedName name="bjx">#REF!</definedName>
    <definedName name="c_" localSheetId="6">#REF!</definedName>
    <definedName name="c_">#REF!</definedName>
    <definedName name="cj" localSheetId="6">'GF v CT'!$E$5</definedName>
    <definedName name="cj" localSheetId="2">Negative!$E$5</definedName>
    <definedName name="cj" localSheetId="1">'Table 2'!$E$5</definedName>
    <definedName name="cj" localSheetId="3">'Table 3'!$E$5</definedName>
    <definedName name="cj">#REF!</definedName>
    <definedName name="cjx">#REF!</definedName>
    <definedName name="dPdTj" localSheetId="6">'GF v CT'!$K$5</definedName>
    <definedName name="dPdTj">'Table 2'!$K$5</definedName>
    <definedName name="e" localSheetId="6">#REF!</definedName>
    <definedName name="e">#REF!</definedName>
    <definedName name="ej" localSheetId="6">#REF!</definedName>
    <definedName name="ej">#REF!</definedName>
    <definedName name="G" localSheetId="4">'Table4 Check'!$B$10</definedName>
    <definedName name="G" localSheetId="6">#REF!</definedName>
    <definedName name="G">#REF!</definedName>
    <definedName name="k" localSheetId="6">'GF v CT'!$I$8</definedName>
    <definedName name="k" localSheetId="2">Negative!$I$7</definedName>
    <definedName name="k" localSheetId="1">'Table 2'!$I$7</definedName>
    <definedName name="k" localSheetId="3">'Table 3'!$I$7</definedName>
    <definedName name="k">#REF!</definedName>
    <definedName name="kx">#REF!</definedName>
    <definedName name="nj" localSheetId="6">#REF!</definedName>
    <definedName name="nj">#REF!</definedName>
    <definedName name="P" localSheetId="6">'GF v CT'!$J$5</definedName>
    <definedName name="P" localSheetId="1">'Table 2'!$J$5</definedName>
    <definedName name="P">#REF!</definedName>
    <definedName name="Pj" localSheetId="6">#REF!</definedName>
    <definedName name="Pj">#REF!</definedName>
    <definedName name="Px">#REF!</definedName>
    <definedName name="sj">'Table 3'!$J$12</definedName>
    <definedName name="Tj" localSheetId="6">'GF v CT'!$I$13</definedName>
    <definedName name="Tj" localSheetId="2">Negative!$I$12</definedName>
    <definedName name="Tj" localSheetId="3">'Table 3'!$I$12</definedName>
    <definedName name="Tj">'Table 2'!$I$12</definedName>
    <definedName name="Tjx" localSheetId="6">#REF!</definedName>
    <definedName name="Tjx">#REF!</definedName>
    <definedName name="Xj" localSheetId="6">#REF!</definedName>
    <definedName name="Xj">#REF!</definedName>
  </definedNames>
  <calcPr calcId="144525"/>
</workbook>
</file>

<file path=xl/calcChain.xml><?xml version="1.0" encoding="utf-8"?>
<calcChain xmlns="http://schemas.openxmlformats.org/spreadsheetml/2006/main">
  <c r="F15" i="15" l="1"/>
  <c r="G15" i="15" s="1"/>
  <c r="F14" i="15"/>
  <c r="G14" i="15" s="1"/>
  <c r="D8" i="15"/>
  <c r="D14" i="15" s="1"/>
  <c r="I6" i="15"/>
  <c r="I7" i="15"/>
  <c r="I6" i="1"/>
  <c r="I5" i="1"/>
  <c r="F13" i="15"/>
  <c r="I5" i="15"/>
  <c r="I10" i="13"/>
  <c r="H10" i="13"/>
  <c r="F10" i="13"/>
  <c r="E10" i="13"/>
  <c r="F9" i="13"/>
  <c r="E9" i="13"/>
  <c r="F8" i="13"/>
  <c r="E8" i="13"/>
  <c r="K34" i="12"/>
  <c r="K33" i="12"/>
  <c r="K32" i="12"/>
  <c r="G25" i="12"/>
  <c r="M34" i="12" s="1"/>
  <c r="F25" i="12"/>
  <c r="L34" i="12" s="1"/>
  <c r="G24" i="12"/>
  <c r="M33" i="12" s="1"/>
  <c r="F24" i="12"/>
  <c r="L33" i="12" s="1"/>
  <c r="G23" i="12"/>
  <c r="M32" i="12" s="1"/>
  <c r="F23" i="12"/>
  <c r="L32" i="12" s="1"/>
  <c r="G17" i="12"/>
  <c r="F17" i="12"/>
  <c r="G16" i="12"/>
  <c r="F16" i="12"/>
  <c r="G15" i="12"/>
  <c r="F15" i="12"/>
  <c r="F18" i="12" s="1"/>
  <c r="K25" i="12"/>
  <c r="K17" i="12"/>
  <c r="F9" i="12"/>
  <c r="H8" i="12"/>
  <c r="I8" i="12" s="1"/>
  <c r="H7" i="12"/>
  <c r="J7" i="12" s="1"/>
  <c r="H6" i="12"/>
  <c r="I6" i="12" s="1"/>
  <c r="L6" i="11"/>
  <c r="L5" i="11"/>
  <c r="I6" i="11"/>
  <c r="I5" i="11"/>
  <c r="F13" i="11"/>
  <c r="G13" i="11" s="1"/>
  <c r="F12" i="11"/>
  <c r="G12" i="11" s="1"/>
  <c r="D7" i="11"/>
  <c r="D13" i="11" s="1"/>
  <c r="C13" i="11" s="1"/>
  <c r="D7" i="1"/>
  <c r="D12" i="1" s="1"/>
  <c r="C12" i="1" s="1"/>
  <c r="F12" i="1"/>
  <c r="G12" i="1" s="1"/>
  <c r="F13" i="1"/>
  <c r="G13" i="1" s="1"/>
  <c r="F13" i="8"/>
  <c r="G13" i="8" s="1"/>
  <c r="F12" i="8"/>
  <c r="D7" i="8"/>
  <c r="D13" i="8" s="1"/>
  <c r="C13" i="8" s="1"/>
  <c r="I6" i="8"/>
  <c r="I5" i="8"/>
  <c r="I7" i="8" s="1"/>
  <c r="C14" i="15" l="1"/>
  <c r="Q29" i="15"/>
  <c r="K12" i="1"/>
  <c r="F26" i="12"/>
  <c r="L35" i="12" s="1"/>
  <c r="K13" i="15"/>
  <c r="K14" i="15" s="1"/>
  <c r="J14" i="15" s="1"/>
  <c r="D15" i="15"/>
  <c r="C15" i="15" s="1"/>
  <c r="F16" i="15"/>
  <c r="H13" i="15" s="1"/>
  <c r="G13" i="15"/>
  <c r="I8" i="15"/>
  <c r="D13" i="15"/>
  <c r="C13" i="15" s="1"/>
  <c r="C16" i="15" s="1"/>
  <c r="S29" i="15" s="1"/>
  <c r="G8" i="13"/>
  <c r="H8" i="13" s="1"/>
  <c r="G9" i="13"/>
  <c r="H9" i="13" s="1"/>
  <c r="G10" i="13"/>
  <c r="J10" i="13"/>
  <c r="D13" i="1"/>
  <c r="C13" i="1" s="1"/>
  <c r="H16" i="12"/>
  <c r="I16" i="12" s="1"/>
  <c r="H23" i="12"/>
  <c r="H24" i="12"/>
  <c r="H25" i="12"/>
  <c r="H15" i="12"/>
  <c r="J15" i="12" s="1"/>
  <c r="H17" i="12"/>
  <c r="I23" i="12"/>
  <c r="J23" i="12"/>
  <c r="I7" i="12"/>
  <c r="J6" i="12"/>
  <c r="J8" i="12"/>
  <c r="K7" i="12"/>
  <c r="I9" i="12"/>
  <c r="H9" i="12"/>
  <c r="G9" i="12" s="1"/>
  <c r="K13" i="11"/>
  <c r="K12" i="11"/>
  <c r="L7" i="11"/>
  <c r="I7" i="11"/>
  <c r="F14" i="11"/>
  <c r="D12" i="11"/>
  <c r="C12" i="11" s="1"/>
  <c r="C14" i="11" s="1"/>
  <c r="I7" i="1"/>
  <c r="F14" i="8"/>
  <c r="C14" i="1"/>
  <c r="F14" i="1"/>
  <c r="H13" i="1" s="1"/>
  <c r="G12" i="8"/>
  <c r="K12" i="8"/>
  <c r="D12" i="8"/>
  <c r="C12" i="8" s="1"/>
  <c r="C14" i="8" s="1"/>
  <c r="I8" i="13" l="1"/>
  <c r="J8" i="13" s="1"/>
  <c r="J12" i="1"/>
  <c r="K13" i="1"/>
  <c r="J13" i="1" s="1"/>
  <c r="I13" i="1" s="1"/>
  <c r="J16" i="12"/>
  <c r="H14" i="15"/>
  <c r="M14" i="15"/>
  <c r="I12" i="1"/>
  <c r="I14" i="15"/>
  <c r="I23" i="15" s="1"/>
  <c r="H15" i="15"/>
  <c r="H16" i="15" s="1"/>
  <c r="E14" i="15"/>
  <c r="E13" i="15"/>
  <c r="E15" i="15"/>
  <c r="J13" i="15"/>
  <c r="M13" i="15" s="1"/>
  <c r="K15" i="15"/>
  <c r="H13" i="8"/>
  <c r="H14" i="8" s="1"/>
  <c r="H12" i="8"/>
  <c r="H12" i="11"/>
  <c r="H13" i="11"/>
  <c r="I9" i="13"/>
  <c r="J9" i="13" s="1"/>
  <c r="J24" i="12"/>
  <c r="H26" i="12"/>
  <c r="G26" i="12" s="1"/>
  <c r="B24" i="12" s="1"/>
  <c r="G11" i="13"/>
  <c r="I24" i="12"/>
  <c r="I26" i="12" s="1"/>
  <c r="E11" i="13"/>
  <c r="L12" i="11"/>
  <c r="I12" i="11" s="1"/>
  <c r="I20" i="11" s="1"/>
  <c r="I15" i="12"/>
  <c r="B25" i="12"/>
  <c r="H18" i="12"/>
  <c r="G18" i="12" s="1"/>
  <c r="K23" i="12"/>
  <c r="K16" i="12"/>
  <c r="I18" i="12"/>
  <c r="K15" i="12"/>
  <c r="K6" i="12"/>
  <c r="K8" i="12"/>
  <c r="L13" i="11"/>
  <c r="J13" i="11" s="1"/>
  <c r="J21" i="11" s="1"/>
  <c r="E13" i="11"/>
  <c r="E12" i="11"/>
  <c r="I20" i="1"/>
  <c r="H12" i="1"/>
  <c r="E12" i="1"/>
  <c r="E13" i="1"/>
  <c r="J12" i="8"/>
  <c r="K13" i="8"/>
  <c r="J13" i="8" s="1"/>
  <c r="I13" i="8" s="1"/>
  <c r="I21" i="8" s="1"/>
  <c r="I12" i="8"/>
  <c r="I20" i="8" s="1"/>
  <c r="E13" i="8"/>
  <c r="E12" i="8"/>
  <c r="I21" i="1" l="1"/>
  <c r="I14" i="1"/>
  <c r="J12" i="11"/>
  <c r="J20" i="11" s="1"/>
  <c r="M35" i="12"/>
  <c r="I22" i="1"/>
  <c r="J20" i="1" s="1"/>
  <c r="J21" i="1" s="1"/>
  <c r="J22" i="1" s="1"/>
  <c r="B23" i="12"/>
  <c r="J15" i="15"/>
  <c r="M15" i="15" s="1"/>
  <c r="Q28" i="15"/>
  <c r="R28" i="15" s="1"/>
  <c r="J14" i="1"/>
  <c r="L13" i="1" s="1"/>
  <c r="J16" i="15"/>
  <c r="S28" i="15" s="1"/>
  <c r="T28" i="15" s="1"/>
  <c r="E16" i="15"/>
  <c r="I15" i="15"/>
  <c r="I24" i="15" s="1"/>
  <c r="I13" i="15"/>
  <c r="H14" i="11"/>
  <c r="H11" i="13"/>
  <c r="K24" i="12"/>
  <c r="F11" i="13"/>
  <c r="K9" i="12"/>
  <c r="L6" i="12" s="1"/>
  <c r="K18" i="12"/>
  <c r="L7" i="12"/>
  <c r="I13" i="11"/>
  <c r="I21" i="11" s="1"/>
  <c r="E14" i="11"/>
  <c r="K14" i="11"/>
  <c r="I22" i="8"/>
  <c r="J20" i="8" s="1"/>
  <c r="J21" i="8" s="1"/>
  <c r="J22" i="8" s="1"/>
  <c r="K20" i="1"/>
  <c r="K21" i="1" s="1"/>
  <c r="L21" i="1" s="1"/>
  <c r="E14" i="1"/>
  <c r="H14" i="1"/>
  <c r="E14" i="8"/>
  <c r="I14" i="8"/>
  <c r="J14" i="8"/>
  <c r="K20" i="8" l="1"/>
  <c r="K21" i="8" s="1"/>
  <c r="L14" i="1"/>
  <c r="L12" i="1"/>
  <c r="L14" i="15"/>
  <c r="M16" i="15"/>
  <c r="J17" i="15"/>
  <c r="L15" i="15"/>
  <c r="I16" i="15"/>
  <c r="I22" i="15"/>
  <c r="I25" i="15" s="1"/>
  <c r="J22" i="15" s="1"/>
  <c r="L13" i="15"/>
  <c r="M12" i="11"/>
  <c r="M13" i="11"/>
  <c r="J11" i="13"/>
  <c r="K26" i="12"/>
  <c r="L17" i="12"/>
  <c r="N34" i="12" s="1"/>
  <c r="L16" i="12"/>
  <c r="N33" i="12" s="1"/>
  <c r="L15" i="12"/>
  <c r="L8" i="12"/>
  <c r="M6" i="12" s="1"/>
  <c r="I22" i="11"/>
  <c r="L20" i="11" s="1"/>
  <c r="I14" i="11"/>
  <c r="L20" i="1"/>
  <c r="L13" i="8"/>
  <c r="L12" i="8"/>
  <c r="L21" i="8"/>
  <c r="L20" i="8"/>
  <c r="J24" i="15" l="1"/>
  <c r="J23" i="15"/>
  <c r="K22" i="15"/>
  <c r="L16" i="15"/>
  <c r="C25" i="12"/>
  <c r="B10" i="13" s="1"/>
  <c r="C17" i="13" s="1"/>
  <c r="L24" i="12"/>
  <c r="M15" i="12"/>
  <c r="M16" i="12" s="1"/>
  <c r="N16" i="12" s="1"/>
  <c r="T16" i="12" s="1"/>
  <c r="N32" i="12"/>
  <c r="M8" i="12"/>
  <c r="N8" i="12" s="1"/>
  <c r="Q8" i="12" s="1"/>
  <c r="N6" i="12"/>
  <c r="Q6" i="12" s="1"/>
  <c r="M7" i="12"/>
  <c r="N7" i="12" s="1"/>
  <c r="Q7" i="12" s="1"/>
  <c r="L21" i="11"/>
  <c r="K21" i="11" s="1"/>
  <c r="K20" i="11"/>
  <c r="M14" i="11"/>
  <c r="L14" i="8"/>
  <c r="M17" i="12" l="1"/>
  <c r="N17" i="12" s="1"/>
  <c r="T17" i="12" s="1"/>
  <c r="L23" i="12"/>
  <c r="J25" i="15"/>
  <c r="L22" i="15" s="1"/>
  <c r="K24" i="15"/>
  <c r="K23" i="15"/>
  <c r="K10" i="13"/>
  <c r="K9" i="13"/>
  <c r="K8" i="13"/>
  <c r="L25" i="12"/>
  <c r="Q9" i="12"/>
  <c r="N35" i="12"/>
  <c r="N15" i="12"/>
  <c r="Q16" i="12"/>
  <c r="O33" i="12"/>
  <c r="Q17" i="12"/>
  <c r="O34" i="12"/>
  <c r="N9" i="12"/>
  <c r="N10" i="12" s="1"/>
  <c r="K22" i="11"/>
  <c r="M21" i="11" s="1"/>
  <c r="N18" i="12" l="1"/>
  <c r="T18" i="12" s="1"/>
  <c r="O35" i="12" s="1"/>
  <c r="T15" i="12"/>
  <c r="M23" i="12"/>
  <c r="Q27" i="15" s="1"/>
  <c r="R27" i="15" s="1"/>
  <c r="L23" i="15"/>
  <c r="L24" i="15"/>
  <c r="N23" i="12"/>
  <c r="W23" i="12" s="1"/>
  <c r="M24" i="12"/>
  <c r="N24" i="12" s="1"/>
  <c r="R23" i="12"/>
  <c r="F16" i="13"/>
  <c r="P32" i="12"/>
  <c r="F18" i="13"/>
  <c r="P34" i="12"/>
  <c r="F17" i="13"/>
  <c r="P33" i="12"/>
  <c r="O7" i="12"/>
  <c r="P7" i="12" s="1"/>
  <c r="S7" i="12" s="1"/>
  <c r="O6" i="12"/>
  <c r="P6" i="12" s="1"/>
  <c r="S6" i="12" s="1"/>
  <c r="Q23" i="12"/>
  <c r="T23" i="12" s="1"/>
  <c r="R24" i="12"/>
  <c r="O32" i="12"/>
  <c r="Q15" i="12"/>
  <c r="Q18" i="12" s="1"/>
  <c r="O15" i="12"/>
  <c r="P15" i="12" s="1"/>
  <c r="O8" i="12"/>
  <c r="P8" i="12" s="1"/>
  <c r="S8" i="12" s="1"/>
  <c r="O16" i="12"/>
  <c r="P16" i="12" s="1"/>
  <c r="S16" i="12" s="1"/>
  <c r="O17" i="12"/>
  <c r="P17" i="12" s="1"/>
  <c r="S17" i="12" s="1"/>
  <c r="M20" i="11"/>
  <c r="Q24" i="12" l="1"/>
  <c r="T24" i="12" s="1"/>
  <c r="R33" i="12" s="1"/>
  <c r="W24" i="12"/>
  <c r="M25" i="12"/>
  <c r="U24" i="12"/>
  <c r="S33" i="12" s="1"/>
  <c r="V24" i="12"/>
  <c r="U23" i="12"/>
  <c r="S32" i="12" s="1"/>
  <c r="V23" i="12"/>
  <c r="F19" i="13"/>
  <c r="L8" i="13" s="1"/>
  <c r="S15" i="12"/>
  <c r="R32" i="12"/>
  <c r="R25" i="12" l="1"/>
  <c r="U25" i="12" s="1"/>
  <c r="S34" i="12" s="1"/>
  <c r="N25" i="12"/>
  <c r="Q8" i="13"/>
  <c r="L10" i="13"/>
  <c r="L9" i="13"/>
  <c r="M8" i="13"/>
  <c r="P35" i="12"/>
  <c r="C26" i="12"/>
  <c r="Q25" i="12" l="1"/>
  <c r="W25" i="12"/>
  <c r="N26" i="12"/>
  <c r="P8" i="13"/>
  <c r="Q32" i="12"/>
  <c r="M10" i="13"/>
  <c r="Q10" i="13"/>
  <c r="S35" i="12" s="1"/>
  <c r="Q9" i="13"/>
  <c r="M9" i="13"/>
  <c r="W26" i="12" l="1"/>
  <c r="M17" i="15" s="1"/>
  <c r="O24" i="12"/>
  <c r="P24" i="12" s="1"/>
  <c r="S24" i="12" s="1"/>
  <c r="O25" i="12"/>
  <c r="P25" i="12" s="1"/>
  <c r="S25" i="12" s="1"/>
  <c r="O23" i="12"/>
  <c r="T25" i="12"/>
  <c r="R34" i="12" s="1"/>
  <c r="V25" i="12"/>
  <c r="Q26" i="12"/>
  <c r="P10" i="13"/>
  <c r="Q34" i="12"/>
  <c r="P9" i="13"/>
  <c r="Q33" i="12"/>
  <c r="M11" i="13"/>
  <c r="S27" i="15" l="1"/>
  <c r="T27" i="15" s="1"/>
  <c r="P23" i="12"/>
  <c r="S23" i="12" s="1"/>
  <c r="P11" i="13"/>
  <c r="R35" i="12" s="1"/>
  <c r="N9" i="13"/>
  <c r="O9" i="13" s="1"/>
  <c r="R9" i="13" s="1"/>
  <c r="G17" i="13" s="1"/>
  <c r="I17" i="13" s="1"/>
  <c r="N8" i="13"/>
  <c r="M12" i="13"/>
  <c r="Q35" i="12" s="1"/>
  <c r="N10" i="13"/>
  <c r="O10" i="13" s="1"/>
  <c r="R10" i="13" s="1"/>
  <c r="G18" i="13" s="1"/>
  <c r="I18" i="13" s="1"/>
  <c r="O8" i="13" l="1"/>
  <c r="R8" i="13" s="1"/>
  <c r="G16" i="13" s="1"/>
  <c r="I16" i="13" s="1"/>
</calcChain>
</file>

<file path=xl/comments1.xml><?xml version="1.0" encoding="utf-8"?>
<comments xmlns="http://schemas.openxmlformats.org/spreadsheetml/2006/main">
  <authors>
    <author>Steven Stoft</author>
  </authors>
  <commentList>
    <comment ref="C11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Abatement of Country j</t>
        </r>
      </text>
    </comment>
    <comment ref="D11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Marginal Cost</t>
        </r>
      </text>
    </comment>
    <comment ref="E11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Net Benefit</t>
        </r>
      </text>
    </comment>
    <comment ref="I11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Target Abatment,
can be done locally or purchased internationally.</t>
        </r>
      </text>
    </comment>
    <comment ref="J11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National Abatement</t>
        </r>
      </text>
    </comment>
    <comment ref="K11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Global carbon-abatement price.</t>
        </r>
      </text>
    </comment>
    <comment ref="I19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Target Abatment,
can be done locally or purchased internationally.</t>
        </r>
      </text>
    </comment>
    <comment ref="J19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National Abatement</t>
        </r>
      </text>
    </comment>
    <comment ref="K19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Global carbon-abatement price.</t>
        </r>
      </text>
    </comment>
  </commentList>
</comments>
</file>

<file path=xl/comments2.xml><?xml version="1.0" encoding="utf-8"?>
<comments xmlns="http://schemas.openxmlformats.org/spreadsheetml/2006/main">
  <authors>
    <author>Steven Stoft</author>
  </authors>
  <commentList>
    <comment ref="C11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Abatement of Country j</t>
        </r>
      </text>
    </comment>
    <comment ref="D11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Marginal Cost</t>
        </r>
      </text>
    </comment>
    <comment ref="E11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Net Benefit</t>
        </r>
      </text>
    </comment>
    <comment ref="I11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Target Abatment,
can be done locally or purchased internationally.</t>
        </r>
      </text>
    </comment>
    <comment ref="K11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Global carbon-abatement price.</t>
        </r>
      </text>
    </comment>
    <comment ref="I19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Target Abatment,
can be done locally or purchased internationally.</t>
        </r>
      </text>
    </comment>
    <comment ref="K19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Global carbon-abatement price.</t>
        </r>
      </text>
    </comment>
  </commentList>
</comments>
</file>

<file path=xl/comments3.xml><?xml version="1.0" encoding="utf-8"?>
<comments xmlns="http://schemas.openxmlformats.org/spreadsheetml/2006/main">
  <authors>
    <author>Steven Stoft</author>
  </authors>
  <commentList>
    <comment ref="C11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Abatement of Country j</t>
        </r>
      </text>
    </comment>
    <comment ref="D11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Marginal Cost</t>
        </r>
      </text>
    </comment>
    <comment ref="E11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Net Benefit</t>
        </r>
      </text>
    </comment>
    <comment ref="I11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Target Abatment,
can be done locally or purchased internationally.</t>
        </r>
      </text>
    </comment>
    <comment ref="L11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Global carbon-abatement price.</t>
        </r>
      </text>
    </comment>
    <comment ref="I19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Target Abatment,
can be done locally or purchased internationally.</t>
        </r>
      </text>
    </comment>
    <comment ref="L19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Global carbon-abatement price.</t>
        </r>
      </text>
    </comment>
  </commentList>
</comments>
</file>

<file path=xl/comments4.xml><?xml version="1.0" encoding="utf-8"?>
<comments xmlns="http://schemas.openxmlformats.org/spreadsheetml/2006/main">
  <authors>
    <author>Steven Stoft</author>
  </authors>
  <commentList>
    <comment ref="F5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populations in billions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Emissions in tons / capita</t>
        </r>
      </text>
    </comment>
    <comment ref="H5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Emissions in B of tons</t>
        </r>
      </text>
    </comment>
    <comment ref="I5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Country j's Climate benefit = bj A</t>
        </r>
      </text>
    </comment>
    <comment ref="J5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Country j's cost = cj Aj^2</t>
        </r>
      </text>
    </comment>
    <comment ref="N5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This is the country's abatement, of C02 in billions of tonnes/year.</t>
        </r>
      </text>
    </comment>
    <comment ref="O5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Total global abatement</t>
        </r>
      </text>
    </comment>
    <comment ref="P5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Climate Benefit</t>
        </r>
      </text>
    </comment>
    <comment ref="Q5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Abatement Cost</t>
        </r>
      </text>
    </comment>
    <comment ref="S5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A country's net benefit assuming it gets its way on the global price target.</t>
        </r>
      </text>
    </comment>
    <comment ref="D6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Global abatement-beneift parameter</t>
        </r>
      </text>
    </comment>
    <comment ref="D7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global abatement-cost parameter</t>
        </r>
      </text>
    </comment>
    <comment ref="D8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Green Fund Parameter</t>
        </r>
      </text>
    </comment>
    <comment ref="I10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Equation (2.2)</t>
        </r>
      </text>
    </comment>
    <comment ref="F14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populations in billions</t>
        </r>
      </text>
    </comment>
    <comment ref="G14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Emissions in tons / capita</t>
        </r>
      </text>
    </comment>
    <comment ref="H14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Emissions in B of tons</t>
        </r>
      </text>
    </comment>
    <comment ref="I14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Country j's Climate benefit = bj A</t>
        </r>
      </text>
    </comment>
    <comment ref="J14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Country j's cost = cj Aj^2</t>
        </r>
      </text>
    </comment>
    <comment ref="N14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This is the country's abatement, of C02 in billions of tonnes/year.</t>
        </r>
      </text>
    </comment>
    <comment ref="O14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Total global abatement</t>
        </r>
      </text>
    </comment>
    <comment ref="P14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Climate Benefit</t>
        </r>
      </text>
    </comment>
    <comment ref="Q14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Abatement Cost</t>
        </r>
      </text>
    </comment>
    <comment ref="S14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A country's net benefit assuming it gets its way on the global price target.</t>
        </r>
      </text>
    </comment>
    <comment ref="T14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Abatement as a %
of emissions.</t>
        </r>
      </text>
    </comment>
    <comment ref="D17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Green Fund Parameter</t>
        </r>
      </text>
    </comment>
    <comment ref="I19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Equation (2.2)</t>
        </r>
      </text>
    </comment>
    <comment ref="F22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populations in billions</t>
        </r>
      </text>
    </comment>
    <comment ref="G22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Emissions in tons / capita</t>
        </r>
      </text>
    </comment>
    <comment ref="H22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Emissions in B of tons</t>
        </r>
      </text>
    </comment>
    <comment ref="I22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Country j's Climate benefit = bj A</t>
        </r>
      </text>
    </comment>
    <comment ref="J22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Country j's cost = cj Aj^2</t>
        </r>
      </text>
    </comment>
    <comment ref="N22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This is the country's abatement, of C02 in billions of tonnes/year.</t>
        </r>
      </text>
    </comment>
    <comment ref="O22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Total global abatement</t>
        </r>
      </text>
    </comment>
    <comment ref="P22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Climate Benefit</t>
        </r>
      </text>
    </comment>
    <comment ref="Q22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Abatement Cost</t>
        </r>
      </text>
    </comment>
    <comment ref="S22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A country's net benefit assuming it gets its way on the global price target.</t>
        </r>
      </text>
    </comment>
    <comment ref="W22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Abatement as a %
of emissions.</t>
        </r>
      </text>
    </comment>
    <comment ref="D25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Green Fund Parameter</t>
        </r>
      </text>
    </comment>
    <comment ref="C26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Green-Fund payment in $ per ton below average emissions.</t>
        </r>
      </text>
    </comment>
    <comment ref="I27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Equation (2.2)</t>
        </r>
      </text>
    </comment>
  </commentList>
</comments>
</file>

<file path=xl/comments5.xml><?xml version="1.0" encoding="utf-8"?>
<comments xmlns="http://schemas.openxmlformats.org/spreadsheetml/2006/main">
  <authors>
    <author>Steven Stoft</author>
  </authors>
  <commentList>
    <comment ref="E7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populations in billions</t>
        </r>
      </text>
    </comment>
    <comment ref="F7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Emissions in tons / capita</t>
        </r>
      </text>
    </comment>
    <comment ref="G7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Emissions in B of tons</t>
        </r>
      </text>
    </comment>
    <comment ref="H7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Country j's Climate benefit = bj A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Country j's cost = cj Aj^2</t>
        </r>
      </text>
    </comment>
    <comment ref="M7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This is the country's abatement, of C02 in billions of tonnes/year.</t>
        </r>
      </text>
    </comment>
    <comment ref="N7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Total global abatement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Climate Benefit</t>
        </r>
      </text>
    </comment>
    <comment ref="P7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Abatement Cost</t>
        </r>
      </text>
    </comment>
    <comment ref="R7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A country's net benefit assuming it gets its way on the global price target.</t>
        </r>
      </text>
    </comment>
    <comment ref="C8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Global abatement-beneift parameter</t>
        </r>
      </text>
    </comment>
    <comment ref="C9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global abatement-cost parameter</t>
        </r>
      </text>
    </comment>
    <comment ref="C10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Green Fund Parameter</t>
        </r>
      </text>
    </comment>
  </commentList>
</comments>
</file>

<file path=xl/comments6.xml><?xml version="1.0" encoding="utf-8"?>
<comments xmlns="http://schemas.openxmlformats.org/spreadsheetml/2006/main">
  <authors>
    <author>Steven Stoft</author>
  </authors>
  <commentList>
    <comment ref="C12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Abatement of Country j</t>
        </r>
      </text>
    </comment>
    <comment ref="D12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Marginal Cost</t>
        </r>
      </text>
    </comment>
    <comment ref="E12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Net Benefit</t>
        </r>
      </text>
    </comment>
    <comment ref="I12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Target Abatment,
can be done locally or purchased internationally.</t>
        </r>
      </text>
    </comment>
    <comment ref="J12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National Abatement</t>
        </r>
      </text>
    </comment>
    <comment ref="K12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Global carbon-abatement price.</t>
        </r>
      </text>
    </comment>
    <comment ref="M12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Abatement as a %
of emissions.</t>
        </r>
      </text>
    </comment>
    <comment ref="I21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Target Abatment,
can be done locally or purchased internationally.</t>
        </r>
      </text>
    </comment>
    <comment ref="J21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National Abatement</t>
        </r>
      </text>
    </comment>
    <comment ref="K21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Global carbon-abatement price.</t>
        </r>
      </text>
    </comment>
    <comment ref="J22" authorId="0">
      <text>
        <r>
          <rPr>
            <b/>
            <sz val="8"/>
            <color indexed="81"/>
            <rFont val="Tahoma"/>
            <family val="2"/>
          </rPr>
          <t>Steven Stoft:</t>
        </r>
        <r>
          <rPr>
            <sz val="8"/>
            <color indexed="81"/>
            <rFont val="Tahoma"/>
            <family val="2"/>
          </rPr>
          <t xml:space="preserve">
From 8
</t>
        </r>
      </text>
    </comment>
  </commentList>
</comments>
</file>

<file path=xl/sharedStrings.xml><?xml version="1.0" encoding="utf-8"?>
<sst xmlns="http://schemas.openxmlformats.org/spreadsheetml/2006/main" count="603" uniqueCount="229">
  <si>
    <t>Optimal Outcome</t>
  </si>
  <si>
    <t>Two-Country Cap-and-Trade Game:</t>
  </si>
  <si>
    <t>Inputs</t>
  </si>
  <si>
    <t>N</t>
  </si>
  <si>
    <t>Country</t>
  </si>
  <si>
    <t>bj</t>
  </si>
  <si>
    <t>cj</t>
  </si>
  <si>
    <t>1/cj</t>
  </si>
  <si>
    <t>P=MC</t>
  </si>
  <si>
    <t>j=1</t>
  </si>
  <si>
    <t>j=2</t>
  </si>
  <si>
    <t>NBj = bj A - cj Aj^2</t>
  </si>
  <si>
    <t>Optimal</t>
  </si>
  <si>
    <t>Public Goods</t>
  </si>
  <si>
    <t>Cap and Trade</t>
  </si>
  <si>
    <t>j</t>
  </si>
  <si>
    <t>Aj</t>
  </si>
  <si>
    <t>Tj</t>
  </si>
  <si>
    <t>total</t>
  </si>
  <si>
    <t>Note that Cap-Trade is better than Public Goods</t>
  </si>
  <si>
    <t>sj</t>
  </si>
  <si>
    <t>Bene</t>
  </si>
  <si>
    <t>$ Billions / year</t>
  </si>
  <si>
    <t>nj</t>
  </si>
  <si>
    <t>ej</t>
  </si>
  <si>
    <t>Ej</t>
  </si>
  <si>
    <t>A</t>
  </si>
  <si>
    <t>b</t>
  </si>
  <si>
    <t>US</t>
  </si>
  <si>
    <t>c</t>
  </si>
  <si>
    <t>China</t>
  </si>
  <si>
    <t>G</t>
  </si>
  <si>
    <t>India</t>
  </si>
  <si>
    <t>g</t>
  </si>
  <si>
    <t>n</t>
  </si>
  <si>
    <t>e</t>
  </si>
  <si>
    <t>E</t>
  </si>
  <si>
    <t>k</t>
  </si>
  <si>
    <t>Global Climate Games:  How Pricing and a Green Fund Foster Cooperation</t>
  </si>
  <si>
    <t>By Peter Cramton and Steven Stoft</t>
  </si>
  <si>
    <t xml:space="preserve"> </t>
  </si>
  <si>
    <t>bj/2ck</t>
  </si>
  <si>
    <t>Formulas from the Online Appendix</t>
  </si>
  <si>
    <t>From Equation (2.2)</t>
  </si>
  <si>
    <t>P = sum(bj)</t>
  </si>
  <si>
    <t>Aj = P / 2cj</t>
  </si>
  <si>
    <t>From Equation (3.1)</t>
  </si>
  <si>
    <t>Aj = Pj / 2cj</t>
  </si>
  <si>
    <t>Pj = bj</t>
  </si>
  <si>
    <t>A = sum(Aj)</t>
  </si>
  <si>
    <t>Global Cap-and-Trade</t>
  </si>
  <si>
    <t>Global Public-Goods Game</t>
  </si>
  <si>
    <t>Abatement, country j</t>
  </si>
  <si>
    <t>Abatement, global</t>
  </si>
  <si>
    <t>Price, global</t>
  </si>
  <si>
    <t>Net benefit, country j</t>
  </si>
  <si>
    <t>From Equations (4.10), (4.11) and (4.12)</t>
  </si>
  <si>
    <t>P* = (1/N) sum(bj)</t>
  </si>
  <si>
    <t>Aj = P* / 2cj</t>
  </si>
  <si>
    <t>NBj = bj A - cj Aj^2 + (Aj - Tj) P*</t>
  </si>
  <si>
    <t>k = sum(1/cj)</t>
  </si>
  <si>
    <t>definition</t>
  </si>
  <si>
    <t>Tj = Aj +(bj - P*)k/2</t>
  </si>
  <si>
    <t>Abatement target</t>
  </si>
  <si>
    <t>=k</t>
  </si>
  <si>
    <t>Table 2:  Global Cap-and-Trade Game</t>
  </si>
  <si>
    <t>To check the cap-and-trade game numerically</t>
  </si>
  <si>
    <t>Then T1 &amp; T2 can be perturbed to see if NBj is at a maximum</t>
  </si>
  <si>
    <t>2 c1 A1 = 2 c2 A2</t>
  </si>
  <si>
    <t>From (4.3)</t>
  </si>
  <si>
    <t>From (4.4)</t>
  </si>
  <si>
    <t>(c1+c2)A1 = c2 T</t>
  </si>
  <si>
    <t>A1 + A2 = T1 + T2 = T</t>
  </si>
  <si>
    <t>c1 A1 = c2 (T-A1)</t>
  </si>
  <si>
    <t>A1 = c2 T/(c1 + c2)</t>
  </si>
  <si>
    <t>A2 = c1 A1/c2</t>
  </si>
  <si>
    <t>P= 2 c1 A1</t>
  </si>
  <si>
    <t>from 1 &amp; 2</t>
  </si>
  <si>
    <t>from 3</t>
  </si>
  <si>
    <t>from 4</t>
  </si>
  <si>
    <t>from 1</t>
  </si>
  <si>
    <t>from (4.3)</t>
  </si>
  <si>
    <t>To test the solution numerically,</t>
  </si>
  <si>
    <t>Enter a 1 in one of the 4 yellow cells</t>
  </si>
  <si>
    <t>Tj Down</t>
  </si>
  <si>
    <t>Tj Up</t>
  </si>
  <si>
    <t>Start with strategic variables, T1 &amp; T2, and find Aj, P, and NBj</t>
  </si>
  <si>
    <t>This will disturb a Tj.  NBj should decrease</t>
  </si>
  <si>
    <t>Table 2:  Optimal, Public-Goods, Cap-and-Trade Game</t>
  </si>
  <si>
    <t>Table 2.  A Two Country Example of the International Cap-and-Trade Game</t>
  </si>
  <si>
    <t>Green inputs can be changed.</t>
  </si>
  <si>
    <t>Negative abatement under cap-and-trade</t>
  </si>
  <si>
    <t>Climate benefit = bj A</t>
  </si>
  <si>
    <t>Abatement cost = cj Aj^2</t>
  </si>
  <si>
    <t>Global Cap-and-Trade with Emission Subsidies</t>
  </si>
  <si>
    <t>P = 2 cj Aj + sj</t>
  </si>
  <si>
    <t>From Equations (7.2), (4.11) and (4.12)</t>
  </si>
  <si>
    <t>P = sum(bj/2ck)/sum(1/2cj)</t>
  </si>
  <si>
    <t>Equation (7.8)</t>
  </si>
  <si>
    <t>Cap and Trade w/ Emission Subsidies</t>
  </si>
  <si>
    <t>1/2cj</t>
  </si>
  <si>
    <t>k!=J</t>
  </si>
  <si>
    <t>Aj = Aj in the Public-Goods game</t>
  </si>
  <si>
    <t>Equation (7.4)</t>
  </si>
  <si>
    <t>Equation (7.5)</t>
  </si>
  <si>
    <t>Equation (7.2)</t>
  </si>
  <si>
    <t>sj = P - 2 cj Aj</t>
  </si>
  <si>
    <t>Start with strategic variables, T1, T2, s1, and s2</t>
  </si>
  <si>
    <t>Then find P, Aj, NBj</t>
  </si>
  <si>
    <t>Then T1…s2 can be perturbed to see if NBj is at a maximum</t>
  </si>
  <si>
    <t>NBj</t>
  </si>
  <si>
    <t>sj Up</t>
  </si>
  <si>
    <t>sj Down</t>
  </si>
  <si>
    <t>T1 = A1+ (b1-P)/2c2</t>
  </si>
  <si>
    <t>T2 = A2+ (b2-P)/2c1</t>
  </si>
  <si>
    <t>Eq (7.8) global P = MC+sj</t>
  </si>
  <si>
    <t>Pj = P - sj</t>
  </si>
  <si>
    <t>The effective local price</t>
  </si>
  <si>
    <t>A1 = (P-s1)/2c1</t>
  </si>
  <si>
    <t>A2 = (P-s2)/2c2</t>
  </si>
  <si>
    <t>P is computed by solving (7.2) for j=1,2 &amp; (7.6) to find:</t>
  </si>
  <si>
    <t>P = [2T+s1/c1+s2/c2]/(1/c1 + 1/c2)</t>
  </si>
  <si>
    <t>Table 4: The Green-Fund Game</t>
  </si>
  <si>
    <t>To check the Emission-Subsidy game numerically</t>
  </si>
  <si>
    <t>Enter a 1 in one of the 8 yellow cells</t>
  </si>
  <si>
    <t>This will disturb a Tj or sj.  NBj should decrease</t>
  </si>
  <si>
    <t>Check</t>
  </si>
  <si>
    <t>Pj-vote</t>
  </si>
  <si>
    <t>PjV=bj*cj*k</t>
  </si>
  <si>
    <t>by Eq. (8.6)</t>
  </si>
  <si>
    <t>B=sum(bj)</t>
  </si>
  <si>
    <t xml:space="preserve">B = the optimal price </t>
  </si>
  <si>
    <t>=Abatement as a % of total emissons</t>
  </si>
  <si>
    <t>Billion tonnes/year</t>
  </si>
  <si>
    <t>$/t</t>
  </si>
  <si>
    <t>The Reference Game: All countries prefer the optimal price of $30/t and this results in 20% CO2 abatement</t>
  </si>
  <si>
    <t>The Modified Game:  India Votes for P = $10/t</t>
  </si>
  <si>
    <t>PjV=bj*cj*k+2*G*(e-ej)*nj</t>
  </si>
  <si>
    <t>G.F.</t>
  </si>
  <si>
    <t>PT</t>
  </si>
  <si>
    <t>ΔE</t>
  </si>
  <si>
    <t>Table 4. The Green-Fund Game Brings Increased Cooperation</t>
  </si>
  <si>
    <t>With Green Fund</t>
  </si>
  <si>
    <t>W/out Green Fund</t>
  </si>
  <si>
    <t>pop</t>
  </si>
  <si>
    <t>G.F. cost</t>
  </si>
  <si>
    <t>Aj Cost</t>
  </si>
  <si>
    <t>World</t>
  </si>
  <si>
    <r>
      <t xml:space="preserve"> </t>
    </r>
    <r>
      <rPr>
        <sz val="11"/>
        <color theme="1"/>
        <rFont val="Cambria"/>
        <family val="1"/>
      </rPr>
      <t>¢</t>
    </r>
    <r>
      <rPr>
        <sz val="11"/>
        <color theme="1"/>
        <rFont val="Calibri"/>
        <family val="2"/>
      </rPr>
      <t>/person/day</t>
    </r>
  </si>
  <si>
    <t>G.Fund</t>
  </si>
  <si>
    <t>Aj cost</t>
  </si>
  <si>
    <t>Table 4, Green-Fund Game:  Numerical Check</t>
  </si>
  <si>
    <t>The strategic variables are G and Pj-vote</t>
  </si>
  <si>
    <t>This page allows a check of whether any country could change a strategic variable and increase its net benefit, NBj</t>
  </si>
  <si>
    <t>Change</t>
  </si>
  <si>
    <t>New</t>
  </si>
  <si>
    <t>x 0.001</t>
  </si>
  <si>
    <t>Old</t>
  </si>
  <si>
    <t>Notes</t>
  </si>
  <si>
    <t>Changing G, up or down, will decrease China's NBj, so China's choice of G is optimal</t>
  </si>
  <si>
    <t>If China changes it's Pj-vote a little, it has no effect.</t>
  </si>
  <si>
    <t>If any country raises it's Pj-vote, it has no effect, because either the US or India's minimum vote will hold PT constant.</t>
  </si>
  <si>
    <t>If any country lowers its Pj-vote below $26.40 all countries are made worse off.</t>
  </si>
  <si>
    <t>This shows that we are at a Nash equilibrium.</t>
  </si>
  <si>
    <t>Table 3:  The Table-1 Games with Cheating in the Cap-and-Trade Game</t>
  </si>
  <si>
    <t>Table 3: Cheating by Subsidizing Fossil Fuel</t>
  </si>
  <si>
    <t>Check Table 4:  A Numerical Check of the Green-Fund Game</t>
  </si>
  <si>
    <t>www.global-energy.org/lib/11-01</t>
  </si>
  <si>
    <t>Cap &amp; Trade with Negative Abatement Target, and Less Abatement</t>
  </si>
  <si>
    <t>Numeric Checking</t>
  </si>
  <si>
    <t>a,b,c are parameters</t>
  </si>
  <si>
    <t>It is tedious to check these derivations.</t>
  </si>
  <si>
    <t>and if the results are correct,</t>
  </si>
  <si>
    <r>
      <t xml:space="preserve">for any </t>
    </r>
    <r>
      <rPr>
        <sz val="11"/>
        <color theme="1"/>
        <rFont val="Calibri"/>
        <family val="2"/>
      </rPr>
      <t>Δ.</t>
    </r>
  </si>
  <si>
    <t>this causes a reduction in the player's payoff.</t>
  </si>
  <si>
    <t>These pages display Nash equilibria of 2- and 3-player games</t>
  </si>
  <si>
    <r>
      <t>Each player has a payoff (net-benefit) function, e.g. NB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, X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a,b,c)</t>
    </r>
  </si>
  <si>
    <r>
      <t>Each player must choose its X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to maximize its NB</t>
    </r>
    <r>
      <rPr>
        <vertAlign val="subscript"/>
        <sz val="11"/>
        <color theme="1"/>
        <rFont val="Calibri"/>
        <family val="2"/>
        <scheme val="minor"/>
      </rPr>
      <t>j</t>
    </r>
  </si>
  <si>
    <t>with other strategic variables and parameters held constant.</t>
  </si>
  <si>
    <r>
      <t>The online appendix finds  formulas for Nash strategies: 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* and X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*</t>
    </r>
  </si>
  <si>
    <r>
      <t>Hence the computed 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* and X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* are correct.</t>
    </r>
  </si>
  <si>
    <r>
      <t xml:space="preserve">These spreadsheets allow the user to change </t>
    </r>
    <r>
      <rPr>
        <sz val="11"/>
        <color theme="1"/>
        <rFont val="Calibri"/>
        <family val="2"/>
      </rPr>
      <t>Δ and see that</t>
    </r>
  </si>
  <si>
    <r>
      <t>But the results can be check numerically, because NB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() is easy to compute</t>
    </r>
  </si>
  <si>
    <t>Global Energy Policy Center</t>
  </si>
  <si>
    <t>Research Paper No. 11-01</t>
  </si>
  <si>
    <t>The formulas used here are from the Appendix available at the above URL</t>
  </si>
  <si>
    <r>
      <t>Supose two player each control one stratic variable: 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or X</t>
    </r>
    <r>
      <rPr>
        <vertAlign val="subscript"/>
        <sz val="11"/>
        <color theme="1"/>
        <rFont val="Calibri"/>
        <family val="2"/>
        <scheme val="minor"/>
      </rPr>
      <t>2</t>
    </r>
  </si>
  <si>
    <r>
      <t>NB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*, X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*, a,b,c) &gt; NB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*+</t>
    </r>
    <r>
      <rPr>
        <sz val="11"/>
        <color theme="1"/>
        <rFont val="Calibri"/>
        <family val="2"/>
      </rPr>
      <t>Δ,   X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*,  a,b,c)</t>
    </r>
  </si>
  <si>
    <t>From Eq. (4.3)</t>
  </si>
  <si>
    <t>From Eq. (4.4)</t>
  </si>
  <si>
    <t>From 1 &amp; 2</t>
  </si>
  <si>
    <t>From 3</t>
  </si>
  <si>
    <t>For example, Eq. (4.3) refers to Equation (4.3) in the Appendix</t>
  </si>
  <si>
    <t>Spreadsheet Tabs</t>
  </si>
  <si>
    <t>From 4  (used in Check)</t>
  </si>
  <si>
    <t>From 1  (used in Check)</t>
  </si>
  <si>
    <t>From Eq. (4.3)  (used in Check)</t>
  </si>
  <si>
    <t>Global Cap and Trade</t>
  </si>
  <si>
    <t>Green-Fund Game:  GF pays $1.11/ton for below-avg emissions</t>
  </si>
  <si>
    <t>Here, the data from the</t>
  </si>
  <si>
    <t>G-F game is placed into</t>
  </si>
  <si>
    <t>Table 4, of the paper</t>
  </si>
  <si>
    <t>total Cost</t>
  </si>
  <si>
    <t>Note that Cap-Trade has the same abatement as Public Goods, but #2 loses.</t>
  </si>
  <si>
    <t>Note that Cap-Trade is worse than Public Goods</t>
  </si>
  <si>
    <t>Aj %</t>
  </si>
  <si>
    <t>The Green-Fund Game Played as Cap and Trade</t>
  </si>
  <si>
    <t>j=3</t>
  </si>
  <si>
    <t>A1+A2+A3 =  T</t>
  </si>
  <si>
    <t>c2 A2 = c3 A3</t>
  </si>
  <si>
    <t>c2 A2 = c3 (T-A1-A2)</t>
  </si>
  <si>
    <t>c1 A1 = c2 A2</t>
  </si>
  <si>
    <t>c2 c1 A1/c2 = c3 (T-A1-c1A1/c2)</t>
  </si>
  <si>
    <t>c1A1+c3A1+(c1c3/c2)A1 = c3 T</t>
  </si>
  <si>
    <t>A1 = c3 T / (c1+c3+c1c3/c2)</t>
  </si>
  <si>
    <t>From 3 and 4</t>
  </si>
  <si>
    <t>From 5 and 2</t>
  </si>
  <si>
    <t>From 6</t>
  </si>
  <si>
    <t>From 7</t>
  </si>
  <si>
    <t>A3= c1 A1/c3</t>
  </si>
  <si>
    <t>From 1 &amp; 3  (used in Check)</t>
  </si>
  <si>
    <t>What if the Green-Fund world had implemented Cap and Trade?</t>
  </si>
  <si>
    <t>&lt;= G.F. =&gt;</t>
  </si>
  <si>
    <t>Green-Fund Game vs. Global Cap and Trade</t>
  </si>
  <si>
    <t>GF Game</t>
  </si>
  <si>
    <t>G. C &amp; T</t>
  </si>
  <si>
    <t>P</t>
  </si>
  <si>
    <t>P/P.opt</t>
  </si>
  <si>
    <t>A / A.opt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</si>
</sst>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8" formatCode="&quot;$&quot;#,##0.00_);[Red]\(&quot;$&quot;#,##0.00\)"/>
    <numFmt numFmtId="164" formatCode="0.000"/>
    <numFmt numFmtId="165" formatCode="0.0"/>
    <numFmt numFmtId="166" formatCode="0.0000"/>
    <numFmt numFmtId="167" formatCode="0.00000"/>
    <numFmt numFmtId="168" formatCode="&quot;$&quot;#,##0.00"/>
    <numFmt numFmtId="169" formatCode="#,##0.0"/>
    <numFmt numFmtId="170" formatCode="0.0%"/>
    <numFmt numFmtId="171" formatCode="[$-409]mmmm\ d\,\ yyyy;@"/>
    <numFmt numFmtId="172" formatCode="&quot;$&quot;#,##0.0"/>
    <numFmt numFmtId="173" formatCode="&quot;$&quot;#,##0"/>
    <numFmt numFmtId="174" formatCode="&quot;$&quot;#,##0.0000"/>
    <numFmt numFmtId="175" formatCode="&quot;$&quot;#,##0.000000"/>
    <numFmt numFmtId="176" formatCode="&quot;$&quot;#,##0.000"/>
  </numFmts>
  <fonts count="20" x14ac:knownFonts="1"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Cambria"/>
      <family val="1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mbria"/>
      <family val="1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mbria"/>
      <family val="1"/>
    </font>
    <font>
      <u/>
      <sz val="12"/>
      <color theme="10"/>
      <name val="Calibri"/>
      <family val="2"/>
    </font>
    <font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</font>
    <font>
      <sz val="13"/>
      <color theme="1"/>
      <name val="Cambria"/>
      <family val="1"/>
    </font>
    <font>
      <sz val="12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6F8A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FBBC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220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quotePrefix="1"/>
    <xf numFmtId="0" fontId="0" fillId="0" borderId="1" xfId="0" quotePrefix="1" applyBorder="1"/>
    <xf numFmtId="0" fontId="6" fillId="0" borderId="0" xfId="0" applyFont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4" fillId="0" borderId="0" xfId="0" applyFont="1" applyAlignment="1"/>
    <xf numFmtId="0" fontId="8" fillId="0" borderId="1" xfId="0" applyNumberFormat="1" applyFont="1" applyFill="1" applyBorder="1" applyAlignment="1" applyProtection="1">
      <alignment horizontal="center"/>
    </xf>
    <xf numFmtId="0" fontId="0" fillId="7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4" fontId="0" fillId="0" borderId="0" xfId="0" applyNumberFormat="1" applyFont="1" applyFill="1" applyBorder="1" applyAlignment="1" applyProtection="1">
      <alignment horizontal="center"/>
    </xf>
    <xf numFmtId="168" fontId="0" fillId="0" borderId="0" xfId="0" applyNumberFormat="1" applyFont="1" applyFill="1" applyBorder="1" applyAlignment="1" applyProtection="1">
      <alignment horizontal="center"/>
    </xf>
    <xf numFmtId="167" fontId="0" fillId="0" borderId="1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/>
    <xf numFmtId="0" fontId="0" fillId="7" borderId="1" xfId="0" applyNumberFormat="1" applyFont="1" applyFill="1" applyBorder="1" applyAlignment="1" applyProtection="1">
      <alignment horizontal="center"/>
    </xf>
    <xf numFmtId="0" fontId="0" fillId="0" borderId="1" xfId="0" applyNumberFormat="1" applyFont="1" applyFill="1" applyBorder="1" applyAlignment="1" applyProtection="1">
      <alignment horizontal="center"/>
    </xf>
    <xf numFmtId="4" fontId="0" fillId="0" borderId="1" xfId="0" applyNumberFormat="1" applyFont="1" applyFill="1" applyBorder="1" applyAlignment="1" applyProtection="1">
      <alignment horizontal="center"/>
    </xf>
    <xf numFmtId="168" fontId="0" fillId="0" borderId="1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4" fontId="0" fillId="0" borderId="0" xfId="0" applyNumberFormat="1" applyFont="1" applyFill="1" applyBorder="1" applyAlignment="1" applyProtection="1">
      <alignment horizontal="righ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0" fillId="8" borderId="0" xfId="0" applyFill="1"/>
    <xf numFmtId="0" fontId="5" fillId="8" borderId="0" xfId="0" applyFont="1" applyFill="1"/>
    <xf numFmtId="171" fontId="9" fillId="8" borderId="0" xfId="0" applyNumberFormat="1" applyFont="1" applyFill="1" applyAlignment="1">
      <alignment horizontal="center"/>
    </xf>
    <xf numFmtId="0" fontId="4" fillId="8" borderId="0" xfId="0" applyFont="1" applyFill="1"/>
    <xf numFmtId="4" fontId="0" fillId="0" borderId="0" xfId="0" applyNumberFormat="1" applyAlignment="1">
      <alignment horizontal="center" vertical="center"/>
    </xf>
    <xf numFmtId="0" fontId="4" fillId="8" borderId="0" xfId="0" applyFont="1" applyFill="1" applyBorder="1"/>
    <xf numFmtId="0" fontId="11" fillId="5" borderId="0" xfId="0" applyFont="1" applyFill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ill="1" applyAlignment="1">
      <alignment horizontal="right"/>
    </xf>
    <xf numFmtId="164" fontId="0" fillId="8" borderId="0" xfId="0" applyNumberFormat="1" applyFill="1" applyAlignment="1">
      <alignment horizontal="center"/>
    </xf>
    <xf numFmtId="0" fontId="4" fillId="8" borderId="0" xfId="0" applyFont="1" applyFill="1" applyBorder="1" applyAlignment="1">
      <alignment horizontal="right"/>
    </xf>
    <xf numFmtId="0" fontId="0" fillId="8" borderId="0" xfId="0" applyFill="1" applyBorder="1"/>
    <xf numFmtId="0" fontId="0" fillId="8" borderId="0" xfId="0" applyFill="1" applyBorder="1" applyAlignment="1">
      <alignment horizontal="center"/>
    </xf>
    <xf numFmtId="164" fontId="0" fillId="8" borderId="0" xfId="0" applyNumberFormat="1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9" borderId="1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0" xfId="0" applyFill="1" applyBorder="1"/>
    <xf numFmtId="0" fontId="0" fillId="9" borderId="1" xfId="0" applyFill="1" applyBorder="1" applyAlignment="1">
      <alignment horizontal="left"/>
    </xf>
    <xf numFmtId="0" fontId="0" fillId="9" borderId="1" xfId="0" applyFill="1" applyBorder="1"/>
    <xf numFmtId="165" fontId="0" fillId="0" borderId="2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5" borderId="0" xfId="0" applyFill="1" applyAlignment="1">
      <alignment horizontal="center"/>
    </xf>
    <xf numFmtId="2" fontId="0" fillId="0" borderId="1" xfId="0" applyNumberFormat="1" applyFont="1" applyFill="1" applyBorder="1" applyAlignment="1" applyProtection="1">
      <alignment horizontal="center"/>
    </xf>
    <xf numFmtId="168" fontId="0" fillId="0" borderId="0" xfId="0" applyNumberFormat="1" applyFill="1" applyBorder="1" applyAlignment="1" applyProtection="1">
      <alignment horizontal="left"/>
    </xf>
    <xf numFmtId="0" fontId="11" fillId="0" borderId="0" xfId="0" applyFont="1" applyAlignment="1">
      <alignment horizontal="left"/>
    </xf>
    <xf numFmtId="0" fontId="8" fillId="0" borderId="0" xfId="0" applyNumberFormat="1" applyFont="1" applyFill="1" applyBorder="1" applyAlignment="1" applyProtection="1">
      <alignment horizontal="left"/>
    </xf>
    <xf numFmtId="0" fontId="4" fillId="7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7" borderId="7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/>
    <xf numFmtId="0" fontId="0" fillId="0" borderId="7" xfId="0" applyNumberFormat="1" applyFont="1" applyFill="1" applyBorder="1" applyAlignment="1" applyProtection="1">
      <alignment horizontal="center"/>
    </xf>
    <xf numFmtId="4" fontId="0" fillId="0" borderId="7" xfId="0" applyNumberFormat="1" applyFont="1" applyFill="1" applyBorder="1" applyAlignment="1" applyProtection="1">
      <alignment horizontal="center"/>
    </xf>
    <xf numFmtId="168" fontId="0" fillId="0" borderId="7" xfId="0" applyNumberFormat="1" applyFont="1" applyFill="1" applyBorder="1" applyAlignment="1" applyProtection="1">
      <alignment horizontal="center"/>
    </xf>
    <xf numFmtId="9" fontId="0" fillId="0" borderId="0" xfId="1" applyFont="1" applyAlignment="1">
      <alignment horizontal="center" vertical="center"/>
    </xf>
    <xf numFmtId="0" fontId="0" fillId="0" borderId="0" xfId="0" quotePrefix="1" applyAlignment="1">
      <alignment vertical="center"/>
    </xf>
    <xf numFmtId="0" fontId="0" fillId="2" borderId="0" xfId="0" applyFill="1" applyAlignment="1"/>
    <xf numFmtId="0" fontId="4" fillId="0" borderId="0" xfId="0" applyFont="1" applyFill="1" applyBorder="1" applyAlignment="1">
      <alignment horizontal="center" vertical="center"/>
    </xf>
    <xf numFmtId="170" fontId="0" fillId="0" borderId="0" xfId="1" applyNumberFormat="1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12" borderId="0" xfId="0" applyFill="1"/>
    <xf numFmtId="0" fontId="5" fillId="12" borderId="0" xfId="0" applyFont="1" applyFill="1"/>
    <xf numFmtId="168" fontId="0" fillId="0" borderId="0" xfId="0" applyNumberFormat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168" fontId="0" fillId="0" borderId="6" xfId="0" applyNumberFormat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68" fontId="0" fillId="0" borderId="4" xfId="0" applyNumberFormat="1" applyBorder="1" applyAlignment="1">
      <alignment horizontal="center"/>
    </xf>
    <xf numFmtId="172" fontId="0" fillId="0" borderId="0" xfId="0" applyNumberFormat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169" fontId="0" fillId="0" borderId="0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9" fontId="0" fillId="0" borderId="7" xfId="0" applyNumberFormat="1" applyBorder="1" applyAlignment="1">
      <alignment horizontal="center"/>
    </xf>
    <xf numFmtId="169" fontId="0" fillId="0" borderId="8" xfId="0" applyNumberForma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169" fontId="0" fillId="0" borderId="5" xfId="0" applyNumberFormat="1" applyBorder="1" applyAlignment="1">
      <alignment horizontal="center"/>
    </xf>
    <xf numFmtId="0" fontId="0" fillId="0" borderId="8" xfId="0" applyBorder="1"/>
    <xf numFmtId="0" fontId="0" fillId="0" borderId="2" xfId="0" applyBorder="1"/>
    <xf numFmtId="0" fontId="0" fillId="0" borderId="6" xfId="0" applyBorder="1"/>
    <xf numFmtId="0" fontId="0" fillId="0" borderId="4" xfId="0" applyBorder="1"/>
    <xf numFmtId="170" fontId="0" fillId="0" borderId="5" xfId="1" applyNumberFormat="1" applyFont="1" applyBorder="1" applyAlignment="1">
      <alignment horizontal="center"/>
    </xf>
    <xf numFmtId="170" fontId="0" fillId="0" borderId="1" xfId="0" applyNumberFormat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center"/>
    </xf>
    <xf numFmtId="168" fontId="0" fillId="10" borderId="7" xfId="0" applyNumberFormat="1" applyFont="1" applyFill="1" applyBorder="1" applyAlignment="1" applyProtection="1">
      <alignment horizontal="center"/>
    </xf>
    <xf numFmtId="0" fontId="0" fillId="10" borderId="1" xfId="0" applyNumberFormat="1" applyFont="1" applyFill="1" applyBorder="1" applyAlignment="1" applyProtection="1">
      <alignment horizontal="center"/>
    </xf>
    <xf numFmtId="168" fontId="0" fillId="10" borderId="1" xfId="0" applyNumberFormat="1" applyFont="1" applyFill="1" applyBorder="1" applyAlignment="1" applyProtection="1">
      <alignment horizontal="center"/>
    </xf>
    <xf numFmtId="0" fontId="4" fillId="0" borderId="0" xfId="0" applyFont="1" applyBorder="1" applyAlignment="1">
      <alignment horizontal="center" vertical="center"/>
    </xf>
    <xf numFmtId="168" fontId="11" fillId="0" borderId="0" xfId="0" applyNumberFormat="1" applyFont="1" applyFill="1" applyBorder="1" applyAlignment="1" applyProtection="1">
      <alignment horizontal="center"/>
    </xf>
    <xf numFmtId="168" fontId="11" fillId="0" borderId="7" xfId="0" applyNumberFormat="1" applyFont="1" applyFill="1" applyBorder="1" applyAlignment="1" applyProtection="1">
      <alignment horizontal="center"/>
    </xf>
    <xf numFmtId="168" fontId="11" fillId="0" borderId="1" xfId="0" applyNumberFormat="1" applyFont="1" applyFill="1" applyBorder="1" applyAlignment="1" applyProtection="1">
      <alignment horizontal="center"/>
    </xf>
    <xf numFmtId="174" fontId="0" fillId="0" borderId="7" xfId="0" applyNumberFormat="1" applyFont="1" applyFill="1" applyBorder="1" applyAlignment="1" applyProtection="1">
      <alignment horizontal="center"/>
    </xf>
    <xf numFmtId="174" fontId="0" fillId="0" borderId="0" xfId="0" applyNumberFormat="1" applyFont="1" applyFill="1" applyBorder="1" applyAlignment="1" applyProtection="1">
      <alignment horizontal="center"/>
    </xf>
    <xf numFmtId="174" fontId="0" fillId="0" borderId="1" xfId="0" applyNumberFormat="1" applyFont="1" applyFill="1" applyBorder="1" applyAlignment="1" applyProtection="1">
      <alignment horizontal="center"/>
    </xf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6" borderId="0" xfId="0" applyFont="1" applyFill="1" applyAlignment="1">
      <alignment horizontal="center"/>
    </xf>
    <xf numFmtId="168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12" borderId="0" xfId="0" applyFont="1" applyFill="1"/>
    <xf numFmtId="0" fontId="8" fillId="0" borderId="7" xfId="0" applyNumberFormat="1" applyFont="1" applyFill="1" applyBorder="1" applyAlignment="1" applyProtection="1">
      <alignment horizontal="center"/>
    </xf>
    <xf numFmtId="8" fontId="0" fillId="5" borderId="7" xfId="0" applyNumberFormat="1" applyFont="1" applyFill="1" applyBorder="1" applyAlignment="1">
      <alignment horizontal="center"/>
    </xf>
    <xf numFmtId="8" fontId="0" fillId="5" borderId="0" xfId="0" applyNumberFormat="1" applyFont="1" applyFill="1" applyBorder="1" applyAlignment="1">
      <alignment horizontal="center"/>
    </xf>
    <xf numFmtId="175" fontId="0" fillId="0" borderId="7" xfId="0" applyNumberFormat="1" applyFont="1" applyFill="1" applyBorder="1" applyAlignment="1" applyProtection="1">
      <alignment horizontal="center"/>
    </xf>
    <xf numFmtId="175" fontId="0" fillId="0" borderId="0" xfId="0" applyNumberFormat="1" applyFont="1" applyFill="1" applyBorder="1" applyAlignment="1" applyProtection="1">
      <alignment horizontal="center"/>
    </xf>
    <xf numFmtId="175" fontId="0" fillId="0" borderId="1" xfId="0" applyNumberFormat="1" applyFont="1" applyFill="1" applyBorder="1" applyAlignment="1" applyProtection="1">
      <alignment horizontal="center"/>
    </xf>
    <xf numFmtId="8" fontId="0" fillId="5" borderId="1" xfId="0" applyNumberFormat="1" applyFill="1" applyBorder="1" applyAlignment="1">
      <alignment horizontal="center"/>
    </xf>
    <xf numFmtId="0" fontId="15" fillId="8" borderId="0" xfId="2" applyFont="1" applyFill="1" applyAlignment="1" applyProtection="1"/>
    <xf numFmtId="0" fontId="12" fillId="8" borderId="0" xfId="0" applyFont="1" applyFill="1"/>
    <xf numFmtId="4" fontId="11" fillId="10" borderId="1" xfId="0" applyNumberFormat="1" applyFont="1" applyFill="1" applyBorder="1" applyAlignment="1" applyProtection="1">
      <alignment horizontal="center"/>
    </xf>
    <xf numFmtId="0" fontId="7" fillId="8" borderId="0" xfId="0" applyFont="1" applyFill="1" applyBorder="1"/>
    <xf numFmtId="0" fontId="0" fillId="8" borderId="0" xfId="0" applyFill="1" applyBorder="1" applyAlignment="1">
      <alignment horizontal="left"/>
    </xf>
    <xf numFmtId="0" fontId="0" fillId="8" borderId="0" xfId="0" applyFont="1" applyFill="1"/>
    <xf numFmtId="0" fontId="7" fillId="0" borderId="6" xfId="0" applyFont="1" applyBorder="1"/>
    <xf numFmtId="0" fontId="18" fillId="8" borderId="6" xfId="0" applyFont="1" applyFill="1" applyBorder="1" applyAlignment="1">
      <alignment horizontal="left"/>
    </xf>
    <xf numFmtId="0" fontId="0" fillId="8" borderId="7" xfId="0" applyFill="1" applyBorder="1"/>
    <xf numFmtId="0" fontId="0" fillId="8" borderId="8" xfId="0" applyFill="1" applyBorder="1"/>
    <xf numFmtId="0" fontId="19" fillId="0" borderId="2" xfId="0" applyFont="1" applyBorder="1" applyAlignment="1">
      <alignment horizontal="left"/>
    </xf>
    <xf numFmtId="0" fontId="15" fillId="8" borderId="0" xfId="2" applyFont="1" applyFill="1" applyBorder="1" applyAlignment="1" applyProtection="1"/>
    <xf numFmtId="0" fontId="0" fillId="8" borderId="3" xfId="0" applyFill="1" applyBorder="1"/>
    <xf numFmtId="0" fontId="0" fillId="8" borderId="2" xfId="0" applyFill="1" applyBorder="1"/>
    <xf numFmtId="0" fontId="0" fillId="8" borderId="1" xfId="0" applyFill="1" applyBorder="1"/>
    <xf numFmtId="0" fontId="0" fillId="8" borderId="5" xfId="0" applyFill="1" applyBorder="1"/>
    <xf numFmtId="0" fontId="19" fillId="8" borderId="2" xfId="0" applyFont="1" applyFill="1" applyBorder="1" applyAlignment="1">
      <alignment horizontal="left"/>
    </xf>
    <xf numFmtId="0" fontId="0" fillId="8" borderId="4" xfId="0" applyFill="1" applyBorder="1" applyAlignment="1">
      <alignment vertical="top"/>
    </xf>
    <xf numFmtId="164" fontId="0" fillId="8" borderId="0" xfId="0" applyNumberFormat="1" applyFill="1"/>
    <xf numFmtId="2" fontId="0" fillId="0" borderId="2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8" borderId="0" xfId="0" applyNumberFormat="1" applyFill="1" applyAlignment="1">
      <alignment horizontal="center"/>
    </xf>
    <xf numFmtId="176" fontId="0" fillId="0" borderId="9" xfId="0" applyNumberFormat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168" fontId="0" fillId="0" borderId="1" xfId="0" applyNumberFormat="1" applyBorder="1" applyAlignment="1">
      <alignment horizontal="center"/>
    </xf>
    <xf numFmtId="2" fontId="0" fillId="10" borderId="2" xfId="0" applyNumberFormat="1" applyFill="1" applyBorder="1" applyAlignment="1">
      <alignment horizontal="center"/>
    </xf>
    <xf numFmtId="2" fontId="0" fillId="10" borderId="0" xfId="0" applyNumberFormat="1" applyFill="1" applyBorder="1" applyAlignment="1">
      <alignment horizontal="center"/>
    </xf>
    <xf numFmtId="170" fontId="0" fillId="0" borderId="0" xfId="1" applyNumberFormat="1" applyFont="1" applyAlignment="1">
      <alignment horizontal="center"/>
    </xf>
    <xf numFmtId="170" fontId="0" fillId="0" borderId="1" xfId="1" applyNumberFormat="1" applyFont="1" applyBorder="1" applyAlignment="1">
      <alignment horizontal="center"/>
    </xf>
    <xf numFmtId="172" fontId="0" fillId="0" borderId="0" xfId="0" applyNumberFormat="1" applyAlignment="1">
      <alignment horizontal="center"/>
    </xf>
    <xf numFmtId="165" fontId="0" fillId="9" borderId="0" xfId="0" applyNumberFormat="1" applyFill="1" applyAlignment="1">
      <alignment horizontal="center"/>
    </xf>
    <xf numFmtId="165" fontId="0" fillId="9" borderId="1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0" fillId="8" borderId="0" xfId="2" applyFill="1" applyAlignment="1" applyProtection="1"/>
    <xf numFmtId="164" fontId="0" fillId="13" borderId="0" xfId="0" applyNumberFormat="1" applyFill="1" applyBorder="1" applyAlignment="1">
      <alignment horizontal="right"/>
    </xf>
    <xf numFmtId="170" fontId="0" fillId="13" borderId="0" xfId="1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 applyProtection="1">
      <alignment horizontal="center"/>
    </xf>
    <xf numFmtId="170" fontId="0" fillId="0" borderId="3" xfId="1" applyNumberFormat="1" applyFont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165" fontId="0" fillId="13" borderId="0" xfId="0" applyNumberFormat="1" applyFill="1" applyBorder="1" applyAlignment="1">
      <alignment horizontal="center"/>
    </xf>
    <xf numFmtId="9" fontId="0" fillId="0" borderId="0" xfId="1" applyFont="1" applyBorder="1" applyAlignment="1">
      <alignment horizontal="center"/>
    </xf>
    <xf numFmtId="4" fontId="0" fillId="8" borderId="0" xfId="0" applyNumberFormat="1" applyFill="1" applyBorder="1" applyAlignment="1">
      <alignment horizontal="center"/>
    </xf>
    <xf numFmtId="0" fontId="0" fillId="0" borderId="2" xfId="0" applyFill="1" applyBorder="1"/>
    <xf numFmtId="9" fontId="0" fillId="0" borderId="0" xfId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9" fontId="0" fillId="0" borderId="3" xfId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4" borderId="6" xfId="0" applyFill="1" applyBorder="1"/>
    <xf numFmtId="0" fontId="0" fillId="4" borderId="7" xfId="0" applyFill="1" applyBorder="1"/>
    <xf numFmtId="0" fontId="4" fillId="4" borderId="7" xfId="0" applyFont="1" applyFill="1" applyBorder="1"/>
    <xf numFmtId="0" fontId="0" fillId="4" borderId="8" xfId="0" applyFill="1" applyBorder="1"/>
    <xf numFmtId="0" fontId="0" fillId="0" borderId="4" xfId="0" applyFill="1" applyBorder="1"/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11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7" fillId="8" borderId="0" xfId="0" applyFont="1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7171"/>
      <color rgb="FFBFFB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lobal-energy.org/lib/11-01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0"/>
  <sheetViews>
    <sheetView workbookViewId="0">
      <selection activeCell="B13" sqref="B13"/>
    </sheetView>
  </sheetViews>
  <sheetFormatPr defaultRowHeight="15" x14ac:dyDescent="0.25"/>
  <cols>
    <col min="1" max="1" width="3.85546875" style="41" customWidth="1"/>
    <col min="2" max="2" width="18.140625" style="41" customWidth="1"/>
    <col min="3" max="4" width="9.140625" style="41"/>
    <col min="5" max="5" width="15.28515625" style="41" customWidth="1"/>
    <col min="6" max="6" width="9.28515625" style="41" customWidth="1"/>
    <col min="7" max="8" width="9.140625" style="41"/>
    <col min="9" max="9" width="13.140625" style="41" customWidth="1"/>
    <col min="10" max="16384" width="9.140625" style="41"/>
  </cols>
  <sheetData>
    <row r="2" spans="2:12" ht="16.5" x14ac:dyDescent="0.25">
      <c r="B2" s="153" t="s">
        <v>183</v>
      </c>
      <c r="C2" s="154"/>
      <c r="D2" s="154"/>
      <c r="E2" s="154"/>
      <c r="F2" s="154"/>
      <c r="G2" s="154"/>
      <c r="H2" s="155"/>
      <c r="J2" s="44" t="s">
        <v>169</v>
      </c>
    </row>
    <row r="3" spans="2:12" ht="15.75" x14ac:dyDescent="0.25">
      <c r="B3" s="156" t="s">
        <v>184</v>
      </c>
      <c r="C3" s="54"/>
      <c r="D3" s="157" t="s">
        <v>167</v>
      </c>
      <c r="E3" s="54"/>
      <c r="F3" s="54"/>
      <c r="G3" s="54"/>
      <c r="H3" s="158"/>
      <c r="J3" s="41" t="s">
        <v>175</v>
      </c>
    </row>
    <row r="4" spans="2:12" ht="18" x14ac:dyDescent="0.35">
      <c r="B4" s="162"/>
      <c r="C4" s="54"/>
      <c r="D4" s="157"/>
      <c r="E4" s="54"/>
      <c r="F4" s="54"/>
      <c r="G4" s="54"/>
      <c r="H4" s="158"/>
      <c r="J4" s="41" t="s">
        <v>186</v>
      </c>
    </row>
    <row r="5" spans="2:12" ht="18" x14ac:dyDescent="0.35">
      <c r="B5" s="159" t="s">
        <v>185</v>
      </c>
      <c r="C5" s="54"/>
      <c r="D5" s="54"/>
      <c r="E5" s="54"/>
      <c r="F5" s="54"/>
      <c r="G5" s="54"/>
      <c r="H5" s="158"/>
      <c r="J5" s="41" t="s">
        <v>176</v>
      </c>
    </row>
    <row r="6" spans="2:12" ht="18" customHeight="1" x14ac:dyDescent="0.25">
      <c r="B6" s="163" t="s">
        <v>192</v>
      </c>
      <c r="C6" s="160"/>
      <c r="D6" s="160"/>
      <c r="E6" s="160"/>
      <c r="F6" s="160"/>
      <c r="G6" s="160"/>
      <c r="H6" s="161"/>
      <c r="K6" s="41" t="s">
        <v>170</v>
      </c>
    </row>
    <row r="7" spans="2:12" ht="18" x14ac:dyDescent="0.35">
      <c r="J7" s="41" t="s">
        <v>177</v>
      </c>
    </row>
    <row r="8" spans="2:12" ht="18.75" x14ac:dyDescent="0.3">
      <c r="B8" s="42" t="s">
        <v>38</v>
      </c>
      <c r="K8" s="41" t="s">
        <v>178</v>
      </c>
    </row>
    <row r="9" spans="2:12" ht="18.75" customHeight="1" x14ac:dyDescent="0.25">
      <c r="B9" s="41" t="s">
        <v>39</v>
      </c>
      <c r="E9" s="43">
        <v>40678</v>
      </c>
    </row>
    <row r="10" spans="2:12" ht="18.75" customHeight="1" x14ac:dyDescent="0.35">
      <c r="B10" s="147"/>
      <c r="J10" s="41" t="s">
        <v>179</v>
      </c>
    </row>
    <row r="11" spans="2:12" ht="18.75" customHeight="1" x14ac:dyDescent="0.25">
      <c r="J11" s="41" t="s">
        <v>171</v>
      </c>
    </row>
    <row r="12" spans="2:12" ht="18.75" customHeight="1" x14ac:dyDescent="0.25">
      <c r="B12" s="149" t="s">
        <v>193</v>
      </c>
    </row>
    <row r="13" spans="2:12" ht="18.75" customHeight="1" x14ac:dyDescent="0.35">
      <c r="B13" s="146" t="s">
        <v>88</v>
      </c>
      <c r="J13" s="41" t="s">
        <v>182</v>
      </c>
    </row>
    <row r="14" spans="2:12" ht="15.75" x14ac:dyDescent="0.25">
      <c r="B14" s="146" t="s">
        <v>91</v>
      </c>
      <c r="K14" s="41" t="s">
        <v>172</v>
      </c>
    </row>
    <row r="15" spans="2:12" ht="18" x14ac:dyDescent="0.35">
      <c r="B15" s="146" t="s">
        <v>165</v>
      </c>
      <c r="K15" s="41" t="s">
        <v>187</v>
      </c>
    </row>
    <row r="16" spans="2:12" ht="15.75" x14ac:dyDescent="0.25">
      <c r="B16" s="146" t="s">
        <v>122</v>
      </c>
      <c r="L16" s="41" t="s">
        <v>173</v>
      </c>
    </row>
    <row r="17" spans="2:11" ht="15.75" x14ac:dyDescent="0.25">
      <c r="B17" s="146" t="s">
        <v>166</v>
      </c>
    </row>
    <row r="18" spans="2:11" x14ac:dyDescent="0.25">
      <c r="B18" s="182" t="s">
        <v>221</v>
      </c>
      <c r="J18" s="41" t="s">
        <v>181</v>
      </c>
    </row>
    <row r="19" spans="2:11" x14ac:dyDescent="0.25">
      <c r="K19" s="41" t="s">
        <v>174</v>
      </c>
    </row>
    <row r="20" spans="2:11" ht="18" x14ac:dyDescent="0.35">
      <c r="G20" s="146"/>
      <c r="J20" s="41" t="s">
        <v>180</v>
      </c>
    </row>
  </sheetData>
  <hyperlinks>
    <hyperlink ref="D3" r:id="rId1"/>
    <hyperlink ref="B13" location="'Table 2'!A1" display="Table 2:  Optimal, Public-Goods, Cap-and-Trade Game"/>
    <hyperlink ref="B14" location="Negative!A1" display="Negative abatement under cap-and-trade"/>
    <hyperlink ref="B15" location="'Table 3'!A1" display="Table 3: Cheating by Subsidizing Fossil Fuel"/>
    <hyperlink ref="B16" location="'Table 4'!A1" display="Table 4: The Green-Fund Game"/>
    <hyperlink ref="B17" location="'Table4 Check'!A1" display="Check Table 4:  A Numerical Check of the Green-Fund Game"/>
    <hyperlink ref="B18" location="'GF v CT'!A1" display="What if the Green-Fund world had implemented Cap and Trade?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4"/>
  <sheetViews>
    <sheetView tabSelected="1" workbookViewId="0">
      <selection activeCell="F5" sqref="F5"/>
    </sheetView>
  </sheetViews>
  <sheetFormatPr defaultRowHeight="15" x14ac:dyDescent="0.25"/>
  <cols>
    <col min="1" max="1" width="2.28515625" style="41" customWidth="1"/>
    <col min="2" max="2" width="7.28515625" customWidth="1"/>
    <col min="13" max="13" width="5.85546875" customWidth="1"/>
    <col min="14" max="14" width="3.5703125" customWidth="1"/>
  </cols>
  <sheetData>
    <row r="1" spans="1:26" ht="30" customHeight="1" x14ac:dyDescent="0.3">
      <c r="B1" s="42" t="s">
        <v>65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 t="s">
        <v>42</v>
      </c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15" customHeight="1" x14ac:dyDescent="0.2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15" customHeight="1" x14ac:dyDescent="0.25">
      <c r="B3" s="1" t="s">
        <v>1</v>
      </c>
      <c r="J3" s="2"/>
      <c r="K3" s="2"/>
      <c r="M3" s="41"/>
      <c r="N3" s="44" t="s">
        <v>0</v>
      </c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x14ac:dyDescent="0.25">
      <c r="B4" s="3" t="s">
        <v>3</v>
      </c>
      <c r="C4" s="3" t="s">
        <v>4</v>
      </c>
      <c r="D4" s="3" t="s">
        <v>5</v>
      </c>
      <c r="E4" s="3" t="s">
        <v>6</v>
      </c>
      <c r="F4" s="66" t="s">
        <v>90</v>
      </c>
      <c r="G4" s="67"/>
      <c r="H4" s="67"/>
      <c r="I4" s="3" t="s">
        <v>7</v>
      </c>
      <c r="J4" s="3"/>
      <c r="K4" s="3"/>
      <c r="L4" s="4"/>
      <c r="M4" s="41"/>
      <c r="N4" s="41" t="s">
        <v>43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x14ac:dyDescent="0.25">
      <c r="B5" s="2">
        <v>2</v>
      </c>
      <c r="C5" s="2" t="s">
        <v>9</v>
      </c>
      <c r="D5" s="57">
        <v>1</v>
      </c>
      <c r="E5" s="57">
        <v>1</v>
      </c>
      <c r="F5" t="s">
        <v>92</v>
      </c>
      <c r="G5" s="5"/>
      <c r="I5" s="38">
        <f>1/cj</f>
        <v>1</v>
      </c>
      <c r="M5" s="41"/>
      <c r="N5" s="41"/>
      <c r="O5" s="41" t="s">
        <v>11</v>
      </c>
      <c r="P5" s="41"/>
      <c r="Q5" s="41" t="s">
        <v>55</v>
      </c>
      <c r="R5" s="41"/>
      <c r="S5" s="41"/>
      <c r="T5" s="41"/>
      <c r="U5" s="41"/>
      <c r="V5" s="41"/>
      <c r="W5" s="41"/>
      <c r="X5" s="41"/>
      <c r="Y5" s="41"/>
      <c r="Z5" s="41"/>
    </row>
    <row r="6" spans="1:26" x14ac:dyDescent="0.25">
      <c r="B6" s="4"/>
      <c r="C6" s="3" t="s">
        <v>10</v>
      </c>
      <c r="D6" s="58">
        <v>2</v>
      </c>
      <c r="E6" s="58">
        <v>2</v>
      </c>
      <c r="F6" s="4" t="s">
        <v>93</v>
      </c>
      <c r="G6" s="6"/>
      <c r="H6" s="4"/>
      <c r="I6" s="63">
        <f>1/E6</f>
        <v>0.5</v>
      </c>
      <c r="J6" s="4"/>
      <c r="K6" s="4"/>
      <c r="L6" s="4"/>
      <c r="M6" s="41"/>
      <c r="N6" s="41"/>
      <c r="O6" s="41" t="s">
        <v>44</v>
      </c>
      <c r="P6" s="41"/>
      <c r="Q6" s="41" t="s">
        <v>54</v>
      </c>
      <c r="R6" s="41"/>
      <c r="S6" s="41"/>
      <c r="T6" s="41"/>
      <c r="U6" s="41"/>
      <c r="V6" s="41"/>
      <c r="W6" s="41"/>
      <c r="X6" s="41"/>
      <c r="Y6" s="41"/>
      <c r="Z6" s="41"/>
    </row>
    <row r="7" spans="1:26" x14ac:dyDescent="0.25">
      <c r="C7" s="2"/>
      <c r="D7" s="2">
        <f>SUM(D5:D6)</f>
        <v>3</v>
      </c>
      <c r="F7" s="65" t="s">
        <v>49</v>
      </c>
      <c r="I7" s="38">
        <f>SUM(I5:I6)</f>
        <v>1.5</v>
      </c>
      <c r="J7" s="5" t="s">
        <v>64</v>
      </c>
      <c r="M7" s="41"/>
      <c r="N7" s="41"/>
      <c r="O7" s="41" t="s">
        <v>45</v>
      </c>
      <c r="P7" s="41"/>
      <c r="Q7" s="41" t="s">
        <v>52</v>
      </c>
      <c r="R7" s="41"/>
      <c r="S7" s="41"/>
      <c r="T7" s="41"/>
      <c r="U7" s="41"/>
      <c r="V7" s="41"/>
      <c r="W7" s="41"/>
      <c r="X7" s="41"/>
      <c r="Y7" s="41"/>
      <c r="Z7" s="41"/>
    </row>
    <row r="8" spans="1:26" x14ac:dyDescent="0.25">
      <c r="C8" s="2"/>
      <c r="D8" s="2"/>
      <c r="F8" s="5"/>
      <c r="I8" s="2"/>
      <c r="M8" s="41"/>
      <c r="N8" s="41"/>
      <c r="O8" s="41" t="s">
        <v>49</v>
      </c>
      <c r="P8" s="41"/>
      <c r="Q8" s="41" t="s">
        <v>53</v>
      </c>
      <c r="R8" s="41"/>
      <c r="S8" s="41"/>
      <c r="T8" s="41"/>
      <c r="U8" s="41"/>
      <c r="V8" s="41"/>
      <c r="W8" s="41"/>
      <c r="X8" s="41"/>
      <c r="Y8" s="41"/>
      <c r="Z8" s="41"/>
    </row>
    <row r="9" spans="1:26" x14ac:dyDescent="0.25">
      <c r="B9" s="7" t="s">
        <v>89</v>
      </c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x14ac:dyDescent="0.25">
      <c r="C10" s="202" t="s">
        <v>12</v>
      </c>
      <c r="D10" s="203"/>
      <c r="E10" s="204"/>
      <c r="F10" s="205" t="s">
        <v>13</v>
      </c>
      <c r="G10" s="206"/>
      <c r="H10" s="207"/>
      <c r="I10" s="208" t="s">
        <v>197</v>
      </c>
      <c r="J10" s="209"/>
      <c r="K10" s="209"/>
      <c r="L10" s="210"/>
      <c r="M10" s="41"/>
      <c r="N10" s="44" t="s">
        <v>51</v>
      </c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x14ac:dyDescent="0.25">
      <c r="B11" s="2" t="s">
        <v>15</v>
      </c>
      <c r="C11" s="8" t="s">
        <v>16</v>
      </c>
      <c r="D11" s="9" t="s">
        <v>8</v>
      </c>
      <c r="E11" s="10" t="s">
        <v>110</v>
      </c>
      <c r="F11" s="8" t="s">
        <v>16</v>
      </c>
      <c r="G11" s="9" t="s">
        <v>8</v>
      </c>
      <c r="H11" s="10" t="s">
        <v>110</v>
      </c>
      <c r="I11" s="8" t="s">
        <v>17</v>
      </c>
      <c r="J11" s="9" t="s">
        <v>16</v>
      </c>
      <c r="K11" s="9" t="s">
        <v>8</v>
      </c>
      <c r="L11" s="10" t="s">
        <v>110</v>
      </c>
      <c r="M11" s="41"/>
      <c r="N11" s="41" t="s">
        <v>46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x14ac:dyDescent="0.25">
      <c r="B12" s="2">
        <v>1</v>
      </c>
      <c r="C12" s="68">
        <f>D12/(2*cj)</f>
        <v>1.5</v>
      </c>
      <c r="D12" s="13">
        <f>D7</f>
        <v>3</v>
      </c>
      <c r="E12" s="62">
        <f>D5*C$14-E5*C12^2</f>
        <v>0</v>
      </c>
      <c r="F12" s="68">
        <f>bj/(2*cj)</f>
        <v>0.5</v>
      </c>
      <c r="G12" s="13">
        <f>2*cj*F12</f>
        <v>1</v>
      </c>
      <c r="H12" s="62">
        <f>bj*F14-cj*F12^2</f>
        <v>0.75</v>
      </c>
      <c r="I12" s="59">
        <f>Aj+(bj-K12)*k/2</f>
        <v>0.375</v>
      </c>
      <c r="J12" s="61">
        <f>K12/(2*cj)</f>
        <v>0.75</v>
      </c>
      <c r="K12" s="13">
        <f>(1/B5)*D7</f>
        <v>1.5</v>
      </c>
      <c r="L12" s="62">
        <f>bj*J14-cj*Aj^2+K12*(Aj-Tj)</f>
        <v>1.125</v>
      </c>
      <c r="M12" s="41"/>
      <c r="N12" s="41"/>
      <c r="O12" s="41" t="s">
        <v>11</v>
      </c>
      <c r="P12" s="41"/>
      <c r="Q12" s="41" t="s">
        <v>55</v>
      </c>
      <c r="R12" s="41"/>
      <c r="S12" s="41"/>
      <c r="T12" s="41"/>
      <c r="U12" s="41"/>
      <c r="V12" s="41"/>
      <c r="W12" s="41"/>
      <c r="X12" s="41"/>
      <c r="Y12" s="41"/>
      <c r="Z12" s="41"/>
    </row>
    <row r="13" spans="1:26" x14ac:dyDescent="0.25">
      <c r="B13" s="3">
        <v>2</v>
      </c>
      <c r="C13" s="69">
        <f>D13/(2*E6)</f>
        <v>0.75</v>
      </c>
      <c r="D13" s="16">
        <f>D7</f>
        <v>3</v>
      </c>
      <c r="E13" s="64">
        <f>D6*C$14-E6*C13^2</f>
        <v>3.375</v>
      </c>
      <c r="F13" s="69">
        <f>D6/(2*E6)</f>
        <v>0.5</v>
      </c>
      <c r="G13" s="16">
        <f>2*E6*F13</f>
        <v>2</v>
      </c>
      <c r="H13" s="64">
        <f>D6*F14-E6*F13^2</f>
        <v>1.5</v>
      </c>
      <c r="I13" s="60">
        <f>J13+(D6-K13)*k/2</f>
        <v>0.75</v>
      </c>
      <c r="J13" s="63">
        <f>K13/(2*E6)</f>
        <v>0.375</v>
      </c>
      <c r="K13" s="16">
        <f>K12</f>
        <v>1.5</v>
      </c>
      <c r="L13" s="64">
        <f>D6*J14-E6*J13^2+K13*(J13-I13)</f>
        <v>1.40625</v>
      </c>
      <c r="M13" s="41"/>
      <c r="N13" s="41"/>
      <c r="O13" s="41" t="s">
        <v>48</v>
      </c>
      <c r="P13" s="41"/>
      <c r="Q13" s="41" t="s">
        <v>54</v>
      </c>
      <c r="R13" s="41"/>
      <c r="S13" s="41"/>
      <c r="T13" s="41"/>
      <c r="U13" s="41"/>
      <c r="V13" s="41"/>
      <c r="W13" s="41"/>
      <c r="X13" s="41"/>
      <c r="Y13" s="41"/>
      <c r="Z13" s="41"/>
    </row>
    <row r="14" spans="1:26" x14ac:dyDescent="0.25">
      <c r="B14" s="2" t="s">
        <v>18</v>
      </c>
      <c r="C14" s="13">
        <f>C12+C13</f>
        <v>2.25</v>
      </c>
      <c r="D14" s="9"/>
      <c r="E14" s="61">
        <f>E12+E13</f>
        <v>3.375</v>
      </c>
      <c r="F14" s="13">
        <f>F12+F13</f>
        <v>1</v>
      </c>
      <c r="G14" s="12"/>
      <c r="H14" s="61">
        <f>H12+H13</f>
        <v>2.25</v>
      </c>
      <c r="I14" s="61">
        <f>I12+I13</f>
        <v>1.125</v>
      </c>
      <c r="J14" s="61">
        <f>J12+J13</f>
        <v>1.125</v>
      </c>
      <c r="K14" s="9"/>
      <c r="L14" s="61">
        <f>L12+L13</f>
        <v>2.53125</v>
      </c>
      <c r="M14" s="41"/>
      <c r="N14" s="41"/>
      <c r="O14" s="150" t="s">
        <v>47</v>
      </c>
      <c r="P14" s="41"/>
      <c r="Q14" s="41" t="s">
        <v>52</v>
      </c>
      <c r="R14" s="41"/>
      <c r="S14" s="41"/>
      <c r="T14" s="41"/>
      <c r="U14" s="41"/>
      <c r="V14" s="41"/>
      <c r="W14" s="41"/>
      <c r="X14" s="41"/>
      <c r="Y14" s="41"/>
      <c r="Z14" s="41"/>
    </row>
    <row r="15" spans="1:26" x14ac:dyDescent="0.25">
      <c r="A15" s="46"/>
      <c r="B15" s="17"/>
      <c r="C15" s="9"/>
      <c r="D15" s="9"/>
      <c r="E15" s="9"/>
      <c r="F15" s="18" t="s">
        <v>19</v>
      </c>
      <c r="G15" s="9"/>
      <c r="H15" s="9"/>
      <c r="I15" s="9"/>
      <c r="J15" s="9"/>
      <c r="K15" s="9"/>
      <c r="L15" s="12"/>
      <c r="M15" s="41"/>
      <c r="N15" s="44"/>
      <c r="O15" s="41" t="s">
        <v>49</v>
      </c>
      <c r="P15" s="41"/>
      <c r="Q15" s="41" t="s">
        <v>53</v>
      </c>
      <c r="R15" s="41"/>
      <c r="S15" s="41"/>
      <c r="T15" s="41"/>
      <c r="U15" s="41"/>
      <c r="V15" s="41"/>
      <c r="W15" s="41"/>
      <c r="X15" s="41"/>
      <c r="Y15" s="41"/>
      <c r="Z15" s="41"/>
    </row>
    <row r="16" spans="1:26" x14ac:dyDescent="0.25">
      <c r="A16" s="53"/>
      <c r="B16" s="54"/>
      <c r="C16" s="55"/>
      <c r="D16" s="55"/>
      <c r="E16" s="55"/>
      <c r="F16" s="54"/>
      <c r="G16" s="55"/>
      <c r="H16" s="55"/>
      <c r="I16" s="55"/>
      <c r="J16" s="55"/>
      <c r="K16" s="55"/>
      <c r="L16" s="56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x14ac:dyDescent="0.25">
      <c r="A17" s="54"/>
      <c r="B17" s="44" t="s">
        <v>66</v>
      </c>
      <c r="C17" s="41"/>
      <c r="D17" s="41"/>
      <c r="E17" s="41"/>
      <c r="F17" s="41"/>
      <c r="G17" s="41"/>
      <c r="H17" s="41"/>
      <c r="I17" s="44" t="s">
        <v>126</v>
      </c>
      <c r="J17" s="41"/>
      <c r="K17" s="41"/>
      <c r="L17" s="41"/>
      <c r="M17" s="41"/>
      <c r="N17" s="44" t="s">
        <v>50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x14ac:dyDescent="0.25">
      <c r="B18" s="41" t="s">
        <v>86</v>
      </c>
      <c r="C18" s="41"/>
      <c r="D18" s="41"/>
      <c r="E18" s="41"/>
      <c r="F18" s="41"/>
      <c r="G18" s="41"/>
      <c r="H18" s="41"/>
      <c r="I18" s="208" t="s">
        <v>197</v>
      </c>
      <c r="J18" s="209"/>
      <c r="K18" s="209"/>
      <c r="L18" s="210"/>
      <c r="M18" s="41"/>
      <c r="N18" s="41" t="s">
        <v>56</v>
      </c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x14ac:dyDescent="0.25">
      <c r="B19" s="41" t="s">
        <v>67</v>
      </c>
      <c r="C19" s="41"/>
      <c r="D19" s="41"/>
      <c r="E19" s="41"/>
      <c r="F19" s="41"/>
      <c r="G19" s="41"/>
      <c r="H19" s="41"/>
      <c r="I19" s="8" t="s">
        <v>17</v>
      </c>
      <c r="J19" s="9" t="s">
        <v>16</v>
      </c>
      <c r="K19" s="9" t="s">
        <v>8</v>
      </c>
      <c r="L19" s="10" t="s">
        <v>110</v>
      </c>
      <c r="M19" s="41"/>
      <c r="N19" s="41"/>
      <c r="O19" s="41" t="s">
        <v>59</v>
      </c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x14ac:dyDescent="0.25">
      <c r="B20" s="41"/>
      <c r="C20" s="41"/>
      <c r="D20" s="41"/>
      <c r="E20" s="41"/>
      <c r="F20" s="41"/>
      <c r="G20" s="41"/>
      <c r="H20" s="41"/>
      <c r="I20" s="11">
        <f>Tj+0.01*J28-0.01*K28</f>
        <v>0.375</v>
      </c>
      <c r="J20" s="12">
        <f>E6*I22/(cj+E6)</f>
        <v>0.75</v>
      </c>
      <c r="K20" s="12">
        <f>2*cj*J20</f>
        <v>1.5</v>
      </c>
      <c r="L20" s="48">
        <f>bj*J22-cj*J20^2+K20*(J20-I20)</f>
        <v>1.125</v>
      </c>
      <c r="M20" s="41"/>
      <c r="N20" s="41"/>
      <c r="O20" s="41" t="s">
        <v>57</v>
      </c>
      <c r="P20" s="41"/>
      <c r="Q20" s="41" t="s">
        <v>54</v>
      </c>
      <c r="R20" s="41"/>
      <c r="S20" s="41"/>
      <c r="T20" s="41"/>
      <c r="U20" s="41"/>
      <c r="V20" s="41"/>
      <c r="W20" s="41"/>
      <c r="X20" s="41"/>
      <c r="Y20" s="41"/>
      <c r="Z20" s="41"/>
    </row>
    <row r="21" spans="1:26" x14ac:dyDescent="0.25">
      <c r="B21" s="50">
        <v>1</v>
      </c>
      <c r="C21" s="41" t="s">
        <v>68</v>
      </c>
      <c r="D21" s="41"/>
      <c r="E21" s="41" t="s">
        <v>188</v>
      </c>
      <c r="F21" s="41"/>
      <c r="G21" s="41"/>
      <c r="H21" s="41"/>
      <c r="I21" s="14">
        <f>I13+0.01*J29-0.01*K29</f>
        <v>0.75</v>
      </c>
      <c r="J21" s="15">
        <f>cj*J20/E6</f>
        <v>0.375</v>
      </c>
      <c r="K21" s="15">
        <f>K20</f>
        <v>1.5</v>
      </c>
      <c r="L21" s="49">
        <f>D6*J22-E6*J21^2+K21*(J21-I21)</f>
        <v>1.40625</v>
      </c>
      <c r="M21" s="41"/>
      <c r="N21" s="41"/>
      <c r="O21" s="150" t="s">
        <v>58</v>
      </c>
      <c r="P21" s="41"/>
      <c r="Q21" s="41" t="s">
        <v>52</v>
      </c>
      <c r="R21" s="41"/>
      <c r="S21" s="41"/>
      <c r="T21" s="41"/>
      <c r="U21" s="41"/>
      <c r="V21" s="41"/>
      <c r="W21" s="41"/>
      <c r="X21" s="41"/>
      <c r="Y21" s="41"/>
      <c r="Z21" s="41"/>
    </row>
    <row r="22" spans="1:26" x14ac:dyDescent="0.25">
      <c r="B22" s="50">
        <v>2</v>
      </c>
      <c r="C22" s="41" t="s">
        <v>72</v>
      </c>
      <c r="D22" s="41"/>
      <c r="E22" s="41" t="s">
        <v>189</v>
      </c>
      <c r="F22" s="41"/>
      <c r="G22" s="41"/>
      <c r="H22" s="41"/>
      <c r="I22" s="52">
        <f>I20+I21</f>
        <v>1.125</v>
      </c>
      <c r="J22" s="52">
        <f>J20+J21</f>
        <v>1.125</v>
      </c>
      <c r="K22" s="50"/>
      <c r="L22" s="39"/>
      <c r="M22" s="41"/>
      <c r="N22" s="41"/>
      <c r="O22" s="41" t="s">
        <v>60</v>
      </c>
      <c r="P22" s="41"/>
      <c r="Q22" s="41" t="s">
        <v>61</v>
      </c>
      <c r="R22" s="41"/>
      <c r="S22" s="41"/>
      <c r="T22" s="41"/>
      <c r="U22" s="41"/>
      <c r="V22" s="41"/>
      <c r="W22" s="41"/>
      <c r="X22" s="41"/>
      <c r="Y22" s="41"/>
      <c r="Z22" s="41"/>
    </row>
    <row r="23" spans="1:26" x14ac:dyDescent="0.25">
      <c r="B23" s="50">
        <v>3</v>
      </c>
      <c r="C23" s="41" t="s">
        <v>73</v>
      </c>
      <c r="D23" s="41"/>
      <c r="E23" s="41" t="s">
        <v>190</v>
      </c>
      <c r="F23" s="41"/>
      <c r="G23" s="41"/>
      <c r="H23" s="41"/>
      <c r="I23" s="41"/>
      <c r="J23" s="41"/>
      <c r="K23" s="41"/>
      <c r="L23" s="41"/>
      <c r="M23" s="41"/>
      <c r="N23" s="44"/>
      <c r="O23" s="41" t="s">
        <v>62</v>
      </c>
      <c r="P23" s="41"/>
      <c r="Q23" s="41" t="s">
        <v>63</v>
      </c>
      <c r="R23" s="41"/>
      <c r="S23" s="41"/>
      <c r="T23" s="41"/>
      <c r="U23" s="41"/>
      <c r="V23" s="41"/>
      <c r="W23" s="41"/>
      <c r="X23" s="41"/>
      <c r="Y23" s="41"/>
      <c r="Z23" s="41"/>
    </row>
    <row r="24" spans="1:26" x14ac:dyDescent="0.25">
      <c r="B24" s="50">
        <v>4</v>
      </c>
      <c r="C24" s="41" t="s">
        <v>71</v>
      </c>
      <c r="D24" s="41"/>
      <c r="E24" s="41" t="s">
        <v>191</v>
      </c>
      <c r="F24" s="41"/>
      <c r="G24" s="41"/>
      <c r="H24" s="41"/>
      <c r="I24" s="41" t="s">
        <v>82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x14ac:dyDescent="0.25">
      <c r="B25" s="50">
        <v>5</v>
      </c>
      <c r="C25" s="41" t="s">
        <v>74</v>
      </c>
      <c r="D25" s="41"/>
      <c r="E25" s="41" t="s">
        <v>194</v>
      </c>
      <c r="F25" s="41"/>
      <c r="G25" s="41"/>
      <c r="H25" s="41"/>
      <c r="I25" s="41" t="s">
        <v>83</v>
      </c>
      <c r="J25" s="41"/>
      <c r="K25" s="41"/>
      <c r="L25" s="41"/>
      <c r="M25" s="41"/>
      <c r="N25" s="41"/>
      <c r="O25" s="41"/>
      <c r="P25" s="41"/>
      <c r="Q25" s="44"/>
      <c r="R25" s="41"/>
      <c r="S25" s="41"/>
      <c r="T25" s="41"/>
      <c r="U25" s="41"/>
      <c r="V25" s="41"/>
      <c r="W25" s="41"/>
      <c r="X25" s="41"/>
      <c r="Y25" s="41"/>
      <c r="Z25" s="41"/>
    </row>
    <row r="26" spans="1:26" x14ac:dyDescent="0.25">
      <c r="B26" s="50">
        <v>6</v>
      </c>
      <c r="C26" s="41" t="s">
        <v>75</v>
      </c>
      <c r="D26" s="41"/>
      <c r="E26" s="41" t="s">
        <v>195</v>
      </c>
      <c r="F26" s="41"/>
      <c r="G26" s="41"/>
      <c r="H26" s="41"/>
      <c r="I26" s="41" t="s">
        <v>87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x14ac:dyDescent="0.25">
      <c r="B27" s="50">
        <v>7</v>
      </c>
      <c r="C27" s="41" t="s">
        <v>76</v>
      </c>
      <c r="D27" s="41"/>
      <c r="E27" s="41" t="s">
        <v>196</v>
      </c>
      <c r="F27" s="41"/>
      <c r="G27" s="41"/>
      <c r="H27" s="41"/>
      <c r="I27" s="41"/>
      <c r="J27" s="50" t="s">
        <v>85</v>
      </c>
      <c r="K27" s="50" t="s">
        <v>84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x14ac:dyDescent="0.25">
      <c r="B28" s="41"/>
      <c r="C28" s="41"/>
      <c r="D28" s="41"/>
      <c r="E28" s="41"/>
      <c r="F28" s="41"/>
      <c r="G28" s="41"/>
      <c r="H28" s="41"/>
      <c r="I28" s="51" t="s">
        <v>9</v>
      </c>
      <c r="J28" s="47">
        <v>0</v>
      </c>
      <c r="K28" s="47">
        <v>0</v>
      </c>
      <c r="L28" s="41"/>
      <c r="M28" s="41"/>
      <c r="N28" s="41"/>
      <c r="O28" s="41"/>
      <c r="P28" s="41"/>
      <c r="Q28" s="56"/>
      <c r="R28" s="54"/>
      <c r="S28" s="41"/>
      <c r="T28" s="41"/>
      <c r="U28" s="41"/>
      <c r="V28" s="41"/>
      <c r="W28" s="41"/>
      <c r="X28" s="41"/>
      <c r="Y28" s="41"/>
      <c r="Z28" s="41"/>
    </row>
    <row r="29" spans="1:26" x14ac:dyDescent="0.25">
      <c r="B29" s="41"/>
      <c r="C29" s="41"/>
      <c r="D29" s="41"/>
      <c r="E29" s="41"/>
      <c r="F29" s="41"/>
      <c r="G29" s="41"/>
      <c r="H29" s="41"/>
      <c r="I29" s="51" t="s">
        <v>10</v>
      </c>
      <c r="J29" s="47">
        <v>0</v>
      </c>
      <c r="K29" s="47">
        <v>0</v>
      </c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x14ac:dyDescent="0.25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x14ac:dyDescent="0.25">
      <c r="N31" s="44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7" spans="14:14" x14ac:dyDescent="0.25">
      <c r="N37" s="5"/>
    </row>
    <row r="39" spans="14:14" x14ac:dyDescent="0.25">
      <c r="N39" s="5"/>
    </row>
    <row r="41" spans="14:14" x14ac:dyDescent="0.25">
      <c r="N41" s="5"/>
    </row>
    <row r="43" spans="14:14" x14ac:dyDescent="0.25">
      <c r="N43" s="5"/>
    </row>
    <row r="44" spans="14:14" x14ac:dyDescent="0.25">
      <c r="N44" s="5"/>
    </row>
  </sheetData>
  <mergeCells count="4">
    <mergeCell ref="C10:E10"/>
    <mergeCell ref="F10:H10"/>
    <mergeCell ref="I10:L10"/>
    <mergeCell ref="I18:L18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workbookViewId="0">
      <selection activeCell="G26" sqref="G26"/>
    </sheetView>
  </sheetViews>
  <sheetFormatPr defaultRowHeight="15" x14ac:dyDescent="0.25"/>
  <cols>
    <col min="1" max="1" width="2.28515625" style="41" customWidth="1"/>
    <col min="2" max="2" width="7.28515625" customWidth="1"/>
    <col min="13" max="13" width="5.85546875" customWidth="1"/>
    <col min="14" max="14" width="3.5703125" customWidth="1"/>
  </cols>
  <sheetData>
    <row r="1" spans="1:23" ht="30" customHeight="1" x14ac:dyDescent="0.3">
      <c r="B1" s="42" t="s">
        <v>168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 t="s">
        <v>42</v>
      </c>
      <c r="O1" s="41"/>
      <c r="P1" s="41"/>
      <c r="Q1" s="41"/>
      <c r="R1" s="41"/>
      <c r="S1" s="41"/>
      <c r="T1" s="41"/>
      <c r="U1" s="41"/>
      <c r="V1" s="41"/>
      <c r="W1" s="41"/>
    </row>
    <row r="2" spans="1:23" x14ac:dyDescent="0.2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3" x14ac:dyDescent="0.25">
      <c r="B3" s="1" t="s">
        <v>1</v>
      </c>
      <c r="J3" s="39"/>
      <c r="K3" s="39"/>
      <c r="M3" s="41"/>
      <c r="N3" s="44" t="s">
        <v>0</v>
      </c>
      <c r="O3" s="41"/>
      <c r="P3" s="41"/>
      <c r="Q3" s="41"/>
      <c r="R3" s="41"/>
      <c r="S3" s="41"/>
      <c r="T3" s="41"/>
      <c r="U3" s="41"/>
      <c r="V3" s="41"/>
      <c r="W3" s="41"/>
    </row>
    <row r="4" spans="1:23" x14ac:dyDescent="0.25">
      <c r="B4" s="3" t="s">
        <v>3</v>
      </c>
      <c r="C4" s="3" t="s">
        <v>4</v>
      </c>
      <c r="D4" s="3" t="s">
        <v>5</v>
      </c>
      <c r="E4" s="3" t="s">
        <v>6</v>
      </c>
      <c r="F4" s="66" t="s">
        <v>90</v>
      </c>
      <c r="G4" s="67"/>
      <c r="H4" s="67"/>
      <c r="I4" s="3" t="s">
        <v>7</v>
      </c>
      <c r="J4" s="3"/>
      <c r="K4" s="3"/>
      <c r="L4" s="4"/>
      <c r="M4" s="41"/>
      <c r="N4" s="41" t="s">
        <v>43</v>
      </c>
      <c r="O4" s="41"/>
      <c r="P4" s="41"/>
      <c r="Q4" s="41"/>
      <c r="R4" s="41"/>
      <c r="S4" s="41"/>
      <c r="T4" s="41"/>
      <c r="U4" s="41"/>
      <c r="V4" s="41"/>
      <c r="W4" s="41"/>
    </row>
    <row r="5" spans="1:23" x14ac:dyDescent="0.25">
      <c r="B5" s="39">
        <v>2</v>
      </c>
      <c r="C5" s="39" t="s">
        <v>9</v>
      </c>
      <c r="D5" s="57">
        <v>1</v>
      </c>
      <c r="E5" s="57">
        <v>3</v>
      </c>
      <c r="F5" t="s">
        <v>92</v>
      </c>
      <c r="G5" s="5"/>
      <c r="I5" s="38">
        <f>1/cj</f>
        <v>0.33333333333333331</v>
      </c>
      <c r="M5" s="41"/>
      <c r="N5" s="41"/>
      <c r="O5" s="41" t="s">
        <v>11</v>
      </c>
      <c r="P5" s="41"/>
      <c r="Q5" s="41" t="s">
        <v>55</v>
      </c>
      <c r="R5" s="41"/>
      <c r="S5" s="41"/>
      <c r="T5" s="41"/>
      <c r="U5" s="41"/>
      <c r="V5" s="41"/>
      <c r="W5" s="41"/>
    </row>
    <row r="6" spans="1:23" x14ac:dyDescent="0.25">
      <c r="B6" s="4"/>
      <c r="C6" s="3" t="s">
        <v>10</v>
      </c>
      <c r="D6" s="58">
        <v>2</v>
      </c>
      <c r="E6" s="58">
        <v>1</v>
      </c>
      <c r="F6" s="4" t="s">
        <v>93</v>
      </c>
      <c r="G6" s="6"/>
      <c r="H6" s="4"/>
      <c r="I6" s="63">
        <f>1/E6</f>
        <v>1</v>
      </c>
      <c r="J6" s="4"/>
      <c r="K6" s="4"/>
      <c r="L6" s="4"/>
      <c r="M6" s="41"/>
      <c r="N6" s="41"/>
      <c r="O6" s="41" t="s">
        <v>44</v>
      </c>
      <c r="P6" s="41"/>
      <c r="Q6" s="41" t="s">
        <v>54</v>
      </c>
      <c r="R6" s="41"/>
      <c r="S6" s="41"/>
      <c r="T6" s="41"/>
      <c r="U6" s="41"/>
      <c r="V6" s="41"/>
      <c r="W6" s="41"/>
    </row>
    <row r="7" spans="1:23" x14ac:dyDescent="0.25">
      <c r="C7" s="39"/>
      <c r="D7" s="39">
        <f>SUM(D5:D6)</f>
        <v>3</v>
      </c>
      <c r="F7" s="65" t="s">
        <v>49</v>
      </c>
      <c r="I7" s="38">
        <f>SUM(I5:I6)</f>
        <v>1.3333333333333333</v>
      </c>
      <c r="J7" s="5" t="s">
        <v>64</v>
      </c>
      <c r="M7" s="41"/>
      <c r="N7" s="41"/>
      <c r="O7" s="41" t="s">
        <v>45</v>
      </c>
      <c r="P7" s="41"/>
      <c r="Q7" s="41" t="s">
        <v>52</v>
      </c>
      <c r="R7" s="41"/>
      <c r="S7" s="41"/>
      <c r="T7" s="41"/>
      <c r="U7" s="41"/>
      <c r="V7" s="41"/>
      <c r="W7" s="41"/>
    </row>
    <row r="8" spans="1:23" x14ac:dyDescent="0.25">
      <c r="C8" s="39"/>
      <c r="D8" s="39"/>
      <c r="F8" s="5"/>
      <c r="I8" s="39"/>
      <c r="M8" s="41"/>
      <c r="N8" s="41"/>
      <c r="O8" s="41" t="s">
        <v>49</v>
      </c>
      <c r="P8" s="41"/>
      <c r="Q8" s="41" t="s">
        <v>53</v>
      </c>
      <c r="R8" s="41"/>
      <c r="S8" s="41"/>
      <c r="T8" s="41"/>
      <c r="U8" s="41"/>
      <c r="V8" s="41"/>
      <c r="W8" s="41"/>
    </row>
    <row r="9" spans="1:23" x14ac:dyDescent="0.25">
      <c r="B9" s="7" t="s">
        <v>89</v>
      </c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</row>
    <row r="10" spans="1:23" x14ac:dyDescent="0.25">
      <c r="C10" s="202" t="s">
        <v>12</v>
      </c>
      <c r="D10" s="203"/>
      <c r="E10" s="204"/>
      <c r="F10" s="205" t="s">
        <v>13</v>
      </c>
      <c r="G10" s="206"/>
      <c r="H10" s="207"/>
      <c r="I10" s="208" t="s">
        <v>14</v>
      </c>
      <c r="J10" s="209"/>
      <c r="K10" s="209"/>
      <c r="L10" s="210"/>
      <c r="M10" s="41"/>
      <c r="N10" s="44" t="s">
        <v>51</v>
      </c>
      <c r="O10" s="41"/>
      <c r="P10" s="41"/>
      <c r="Q10" s="41"/>
      <c r="R10" s="41"/>
      <c r="S10" s="41"/>
      <c r="T10" s="41"/>
      <c r="U10" s="41"/>
      <c r="V10" s="41"/>
      <c r="W10" s="41"/>
    </row>
    <row r="11" spans="1:23" x14ac:dyDescent="0.25">
      <c r="B11" s="39" t="s">
        <v>15</v>
      </c>
      <c r="C11" s="8" t="s">
        <v>16</v>
      </c>
      <c r="D11" s="9" t="s">
        <v>8</v>
      </c>
      <c r="E11" s="10" t="s">
        <v>110</v>
      </c>
      <c r="F11" s="8" t="s">
        <v>16</v>
      </c>
      <c r="G11" s="9" t="s">
        <v>8</v>
      </c>
      <c r="H11" s="10" t="s">
        <v>110</v>
      </c>
      <c r="I11" s="8" t="s">
        <v>17</v>
      </c>
      <c r="J11" s="9" t="s">
        <v>16</v>
      </c>
      <c r="K11" s="9" t="s">
        <v>8</v>
      </c>
      <c r="L11" s="10" t="s">
        <v>110</v>
      </c>
      <c r="M11" s="41"/>
      <c r="N11" s="41" t="s">
        <v>46</v>
      </c>
      <c r="O11" s="41"/>
      <c r="P11" s="41"/>
      <c r="Q11" s="41"/>
      <c r="R11" s="41"/>
      <c r="S11" s="41"/>
      <c r="T11" s="41"/>
      <c r="U11" s="41"/>
      <c r="V11" s="41"/>
      <c r="W11" s="41"/>
    </row>
    <row r="12" spans="1:23" x14ac:dyDescent="0.25">
      <c r="B12" s="39">
        <v>1</v>
      </c>
      <c r="C12" s="68">
        <f>D12/(2*cj)</f>
        <v>0.5</v>
      </c>
      <c r="D12" s="13">
        <f>D7</f>
        <v>3</v>
      </c>
      <c r="E12" s="62">
        <f>D5*C$14-E5*C12^2</f>
        <v>1.25</v>
      </c>
      <c r="F12" s="59">
        <f>bj/(2*cj)</f>
        <v>0.16666666666666666</v>
      </c>
      <c r="G12" s="61">
        <f>2*cj*F12</f>
        <v>1</v>
      </c>
      <c r="H12" s="62">
        <f>bj*F14-cj*F12^2</f>
        <v>1.0833333333333335</v>
      </c>
      <c r="I12" s="172">
        <f>Aj+(bj-K12)*k/2</f>
        <v>-8.3333333333333315E-2</v>
      </c>
      <c r="J12" s="61">
        <f>K12/(2*cj)</f>
        <v>0.25</v>
      </c>
      <c r="K12" s="61">
        <f>(1/B5)*D7</f>
        <v>1.5</v>
      </c>
      <c r="L12" s="62">
        <f>bj*J14-cj*Aj^2+K12*(Aj-Tj)</f>
        <v>1.3125</v>
      </c>
      <c r="M12" s="41"/>
      <c r="N12" s="41"/>
      <c r="O12" s="41" t="s">
        <v>11</v>
      </c>
      <c r="P12" s="41"/>
      <c r="Q12" s="41" t="s">
        <v>55</v>
      </c>
      <c r="R12" s="41"/>
      <c r="S12" s="41"/>
      <c r="T12" s="41"/>
      <c r="U12" s="41"/>
      <c r="V12" s="41"/>
      <c r="W12" s="41"/>
    </row>
    <row r="13" spans="1:23" x14ac:dyDescent="0.25">
      <c r="B13" s="3">
        <v>2</v>
      </c>
      <c r="C13" s="69">
        <f>D13/(2*E6)</f>
        <v>1.5</v>
      </c>
      <c r="D13" s="16">
        <f>D7</f>
        <v>3</v>
      </c>
      <c r="E13" s="64">
        <f>D6*C$14-E6*C13^2</f>
        <v>1.75</v>
      </c>
      <c r="F13" s="60">
        <f>D6/(2*E6)</f>
        <v>1</v>
      </c>
      <c r="G13" s="63">
        <f>2*E6*F13</f>
        <v>2</v>
      </c>
      <c r="H13" s="64">
        <f>D6*F14-E6*F13^2</f>
        <v>1.3333333333333335</v>
      </c>
      <c r="I13" s="60">
        <f>J13+(D6-K13)*k/2</f>
        <v>1.0833333333333333</v>
      </c>
      <c r="J13" s="63">
        <f>K13/(2*E6)</f>
        <v>0.75</v>
      </c>
      <c r="K13" s="63">
        <f>K12</f>
        <v>1.5</v>
      </c>
      <c r="L13" s="64">
        <f>D6*J14-E6*J13^2+K13*(J13-I13)</f>
        <v>0.93750000000000011</v>
      </c>
      <c r="M13" s="41"/>
      <c r="N13" s="41"/>
      <c r="O13" s="41" t="s">
        <v>48</v>
      </c>
      <c r="P13" s="41"/>
      <c r="Q13" s="41" t="s">
        <v>54</v>
      </c>
      <c r="R13" s="41"/>
      <c r="S13" s="41"/>
      <c r="T13" s="41"/>
      <c r="U13" s="41"/>
      <c r="V13" s="41"/>
      <c r="W13" s="41"/>
    </row>
    <row r="14" spans="1:23" x14ac:dyDescent="0.25">
      <c r="B14" s="39" t="s">
        <v>18</v>
      </c>
      <c r="C14" s="13">
        <f>C12+C13</f>
        <v>2</v>
      </c>
      <c r="D14" s="9"/>
      <c r="E14" s="61">
        <f>E12+E13</f>
        <v>3</v>
      </c>
      <c r="F14" s="61">
        <f>F12+F13</f>
        <v>1.1666666666666667</v>
      </c>
      <c r="G14" s="61"/>
      <c r="H14" s="61">
        <f>H12+H13</f>
        <v>2.416666666666667</v>
      </c>
      <c r="I14" s="61">
        <f>I12+I13</f>
        <v>1</v>
      </c>
      <c r="J14" s="173">
        <f>J12+J13</f>
        <v>1</v>
      </c>
      <c r="K14" s="61"/>
      <c r="L14" s="61">
        <f>L12+L13</f>
        <v>2.25</v>
      </c>
      <c r="M14" s="41"/>
      <c r="N14" s="41"/>
      <c r="O14" s="150" t="s">
        <v>47</v>
      </c>
      <c r="P14" s="41"/>
      <c r="Q14" s="41" t="s">
        <v>52</v>
      </c>
      <c r="R14" s="41"/>
      <c r="S14" s="41"/>
      <c r="T14" s="41"/>
      <c r="U14" s="41"/>
      <c r="V14" s="41"/>
      <c r="W14" s="41"/>
    </row>
    <row r="15" spans="1:23" x14ac:dyDescent="0.25">
      <c r="A15" s="46"/>
      <c r="B15" s="17"/>
      <c r="C15" s="9"/>
      <c r="D15" s="9"/>
      <c r="E15" s="9"/>
      <c r="F15" s="18" t="s">
        <v>204</v>
      </c>
      <c r="G15" s="9"/>
      <c r="H15" s="9"/>
      <c r="I15" s="9"/>
      <c r="J15" s="9"/>
      <c r="K15" s="9"/>
      <c r="L15" s="12"/>
      <c r="M15" s="41"/>
      <c r="N15" s="44"/>
      <c r="O15" s="41" t="s">
        <v>49</v>
      </c>
      <c r="P15" s="41"/>
      <c r="Q15" s="41" t="s">
        <v>53</v>
      </c>
      <c r="R15" s="41"/>
      <c r="S15" s="41"/>
      <c r="T15" s="41"/>
      <c r="U15" s="41"/>
      <c r="V15" s="41"/>
      <c r="W15" s="41"/>
    </row>
    <row r="16" spans="1:23" x14ac:dyDescent="0.25">
      <c r="A16" s="53"/>
      <c r="B16" s="54"/>
      <c r="C16" s="55"/>
      <c r="D16" s="55"/>
      <c r="E16" s="55"/>
      <c r="F16" s="54"/>
      <c r="G16" s="55"/>
      <c r="H16" s="55"/>
      <c r="I16" s="55"/>
      <c r="J16" s="55"/>
      <c r="K16" s="55"/>
      <c r="L16" s="56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</row>
    <row r="17" spans="1:23" x14ac:dyDescent="0.25">
      <c r="A17" s="54"/>
      <c r="B17" s="44" t="s">
        <v>66</v>
      </c>
      <c r="C17" s="41"/>
      <c r="D17" s="41"/>
      <c r="E17" s="41"/>
      <c r="F17" s="41"/>
      <c r="G17" s="41"/>
      <c r="H17" s="41"/>
      <c r="I17" s="44" t="s">
        <v>126</v>
      </c>
      <c r="J17" s="41"/>
      <c r="K17" s="41"/>
      <c r="L17" s="41"/>
      <c r="M17" s="41"/>
      <c r="N17" s="44" t="s">
        <v>50</v>
      </c>
      <c r="O17" s="41"/>
      <c r="P17" s="41"/>
      <c r="Q17" s="41"/>
      <c r="R17" s="41"/>
      <c r="S17" s="41"/>
      <c r="T17" s="41"/>
      <c r="U17" s="41"/>
      <c r="V17" s="41"/>
      <c r="W17" s="41"/>
    </row>
    <row r="18" spans="1:23" x14ac:dyDescent="0.25">
      <c r="B18" s="41" t="s">
        <v>86</v>
      </c>
      <c r="C18" s="41"/>
      <c r="D18" s="41"/>
      <c r="E18" s="41"/>
      <c r="F18" s="41"/>
      <c r="G18" s="41"/>
      <c r="H18" s="41"/>
      <c r="I18" s="208" t="s">
        <v>14</v>
      </c>
      <c r="J18" s="209"/>
      <c r="K18" s="209"/>
      <c r="L18" s="210"/>
      <c r="M18" s="41"/>
      <c r="N18" s="41" t="s">
        <v>56</v>
      </c>
      <c r="O18" s="41"/>
      <c r="P18" s="41"/>
      <c r="Q18" s="41"/>
      <c r="R18" s="41"/>
      <c r="S18" s="41"/>
      <c r="T18" s="41"/>
      <c r="U18" s="41"/>
      <c r="V18" s="41"/>
      <c r="W18" s="41"/>
    </row>
    <row r="19" spans="1:23" x14ac:dyDescent="0.25">
      <c r="B19" s="41" t="s">
        <v>67</v>
      </c>
      <c r="C19" s="41"/>
      <c r="D19" s="41"/>
      <c r="E19" s="41"/>
      <c r="F19" s="41"/>
      <c r="G19" s="41"/>
      <c r="H19" s="41"/>
      <c r="I19" s="8" t="s">
        <v>17</v>
      </c>
      <c r="J19" s="9" t="s">
        <v>16</v>
      </c>
      <c r="K19" s="9" t="s">
        <v>8</v>
      </c>
      <c r="L19" s="10" t="s">
        <v>110</v>
      </c>
      <c r="M19" s="41"/>
      <c r="N19" s="41"/>
      <c r="O19" s="41" t="s">
        <v>59</v>
      </c>
      <c r="P19" s="41"/>
      <c r="Q19" s="41"/>
      <c r="R19" s="41"/>
      <c r="S19" s="41"/>
      <c r="T19" s="41"/>
      <c r="U19" s="41"/>
      <c r="V19" s="41"/>
      <c r="W19" s="41"/>
    </row>
    <row r="20" spans="1:23" x14ac:dyDescent="0.25">
      <c r="B20" s="41"/>
      <c r="C20" s="41"/>
      <c r="D20" s="41"/>
      <c r="E20" s="41"/>
      <c r="F20" s="41"/>
      <c r="G20" s="41"/>
      <c r="H20" s="41"/>
      <c r="I20" s="11">
        <f>Tj+0.01*J28-0.01*K28</f>
        <v>-8.3333333333333315E-2</v>
      </c>
      <c r="J20" s="12">
        <f>E6*I22/(cj+E6)</f>
        <v>0.25</v>
      </c>
      <c r="K20" s="12">
        <f>2*cj*J20</f>
        <v>1.5</v>
      </c>
      <c r="L20" s="48">
        <f>bj*J22-cj*J20^2+K20*(J20-I20)</f>
        <v>1.3125</v>
      </c>
      <c r="M20" s="41"/>
      <c r="N20" s="41"/>
      <c r="O20" s="41" t="s">
        <v>57</v>
      </c>
      <c r="P20" s="41"/>
      <c r="Q20" s="41" t="s">
        <v>54</v>
      </c>
      <c r="R20" s="41"/>
      <c r="S20" s="41"/>
      <c r="T20" s="41"/>
      <c r="U20" s="41"/>
      <c r="V20" s="41"/>
      <c r="W20" s="41"/>
    </row>
    <row r="21" spans="1:23" x14ac:dyDescent="0.25">
      <c r="B21" s="50">
        <v>1</v>
      </c>
      <c r="C21" s="41" t="s">
        <v>68</v>
      </c>
      <c r="D21" s="41"/>
      <c r="E21" s="41" t="s">
        <v>69</v>
      </c>
      <c r="F21" s="41"/>
      <c r="G21" s="41"/>
      <c r="H21" s="41"/>
      <c r="I21" s="14">
        <f>I13+0.01*J29-0.01*K29</f>
        <v>1.0833333333333333</v>
      </c>
      <c r="J21" s="15">
        <f>cj*J20/E6</f>
        <v>0.75</v>
      </c>
      <c r="K21" s="15">
        <f>K20</f>
        <v>1.5</v>
      </c>
      <c r="L21" s="49">
        <f>D6*J22-E6*J21^2+K21*(J21-I21)</f>
        <v>0.93750000000000011</v>
      </c>
      <c r="M21" s="41"/>
      <c r="N21" s="41"/>
      <c r="O21" s="150" t="s">
        <v>58</v>
      </c>
      <c r="P21" s="41"/>
      <c r="Q21" s="41" t="s">
        <v>52</v>
      </c>
      <c r="R21" s="41"/>
      <c r="S21" s="41"/>
      <c r="T21" s="41"/>
      <c r="U21" s="41"/>
      <c r="V21" s="41"/>
      <c r="W21" s="41"/>
    </row>
    <row r="22" spans="1:23" x14ac:dyDescent="0.25">
      <c r="B22" s="50">
        <v>2</v>
      </c>
      <c r="C22" s="41" t="s">
        <v>72</v>
      </c>
      <c r="D22" s="41"/>
      <c r="E22" s="41" t="s">
        <v>70</v>
      </c>
      <c r="F22" s="41"/>
      <c r="G22" s="41"/>
      <c r="H22" s="41"/>
      <c r="I22" s="52">
        <f>I20+I21</f>
        <v>1</v>
      </c>
      <c r="J22" s="52">
        <f>J20+J21</f>
        <v>1</v>
      </c>
      <c r="K22" s="50"/>
      <c r="L22" s="39"/>
      <c r="M22" s="41"/>
      <c r="N22" s="41"/>
      <c r="O22" s="41" t="s">
        <v>60</v>
      </c>
      <c r="P22" s="41"/>
      <c r="Q22" s="41" t="s">
        <v>61</v>
      </c>
      <c r="R22" s="41"/>
      <c r="S22" s="41"/>
      <c r="T22" s="41"/>
      <c r="U22" s="41"/>
      <c r="V22" s="41"/>
      <c r="W22" s="41"/>
    </row>
    <row r="23" spans="1:23" x14ac:dyDescent="0.25">
      <c r="B23" s="50">
        <v>3</v>
      </c>
      <c r="C23" s="41" t="s">
        <v>73</v>
      </c>
      <c r="D23" s="41"/>
      <c r="E23" s="41" t="s">
        <v>77</v>
      </c>
      <c r="F23" s="41"/>
      <c r="G23" s="41"/>
      <c r="H23" s="41"/>
      <c r="I23" s="41"/>
      <c r="J23" s="41"/>
      <c r="K23" s="41"/>
      <c r="L23" s="41"/>
      <c r="M23" s="41"/>
      <c r="N23" s="44"/>
      <c r="O23" s="41" t="s">
        <v>62</v>
      </c>
      <c r="P23" s="41"/>
      <c r="Q23" s="41" t="s">
        <v>63</v>
      </c>
      <c r="R23" s="41"/>
      <c r="S23" s="41"/>
      <c r="T23" s="41"/>
      <c r="U23" s="41"/>
      <c r="V23" s="41"/>
      <c r="W23" s="41"/>
    </row>
    <row r="24" spans="1:23" x14ac:dyDescent="0.25">
      <c r="B24" s="50">
        <v>4</v>
      </c>
      <c r="C24" s="41" t="s">
        <v>71</v>
      </c>
      <c r="D24" s="41"/>
      <c r="E24" s="41" t="s">
        <v>78</v>
      </c>
      <c r="F24" s="41"/>
      <c r="G24" s="41"/>
      <c r="H24" s="41"/>
      <c r="I24" s="41" t="s">
        <v>82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</row>
    <row r="25" spans="1:23" x14ac:dyDescent="0.25">
      <c r="B25" s="50">
        <v>5</v>
      </c>
      <c r="C25" s="41" t="s">
        <v>74</v>
      </c>
      <c r="D25" s="41"/>
      <c r="E25" s="41" t="s">
        <v>79</v>
      </c>
      <c r="F25" s="41"/>
      <c r="G25" s="41"/>
      <c r="H25" s="41"/>
      <c r="I25" s="41" t="s">
        <v>83</v>
      </c>
      <c r="J25" s="41"/>
      <c r="K25" s="41"/>
      <c r="L25" s="41"/>
      <c r="M25" s="41"/>
      <c r="N25" s="41"/>
      <c r="O25" s="41"/>
      <c r="P25" s="41"/>
      <c r="Q25" s="44"/>
      <c r="R25" s="41"/>
      <c r="S25" s="41"/>
      <c r="T25" s="41"/>
      <c r="U25" s="41"/>
      <c r="V25" s="41"/>
      <c r="W25" s="41"/>
    </row>
    <row r="26" spans="1:23" x14ac:dyDescent="0.25">
      <c r="B26" s="50">
        <v>6</v>
      </c>
      <c r="C26" s="41" t="s">
        <v>75</v>
      </c>
      <c r="D26" s="41"/>
      <c r="E26" s="41" t="s">
        <v>80</v>
      </c>
      <c r="F26" s="41"/>
      <c r="G26" s="41"/>
      <c r="H26" s="41"/>
      <c r="I26" s="41" t="s">
        <v>87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</row>
    <row r="27" spans="1:23" x14ac:dyDescent="0.25">
      <c r="B27" s="50">
        <v>7</v>
      </c>
      <c r="C27" s="41" t="s">
        <v>76</v>
      </c>
      <c r="D27" s="41"/>
      <c r="E27" s="41" t="s">
        <v>81</v>
      </c>
      <c r="F27" s="41"/>
      <c r="G27" s="41"/>
      <c r="H27" s="41"/>
      <c r="I27" s="41"/>
      <c r="J27" s="50" t="s">
        <v>85</v>
      </c>
      <c r="K27" s="50" t="s">
        <v>84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</row>
    <row r="28" spans="1:23" x14ac:dyDescent="0.25">
      <c r="B28" s="41"/>
      <c r="C28" s="41"/>
      <c r="D28" s="41"/>
      <c r="E28" s="41"/>
      <c r="F28" s="41"/>
      <c r="G28" s="41"/>
      <c r="H28" s="41"/>
      <c r="I28" s="51" t="s">
        <v>9</v>
      </c>
      <c r="J28" s="47">
        <v>0</v>
      </c>
      <c r="K28" s="47">
        <v>0</v>
      </c>
      <c r="L28" s="41"/>
      <c r="M28" s="41"/>
      <c r="N28" s="41"/>
      <c r="O28" s="41"/>
      <c r="P28" s="41"/>
      <c r="Q28" s="56"/>
      <c r="R28" s="54"/>
      <c r="S28" s="41"/>
      <c r="T28" s="41"/>
      <c r="U28" s="41"/>
      <c r="V28" s="41"/>
      <c r="W28" s="41"/>
    </row>
    <row r="29" spans="1:23" x14ac:dyDescent="0.25">
      <c r="B29" s="41"/>
      <c r="C29" s="41"/>
      <c r="D29" s="41"/>
      <c r="E29" s="41"/>
      <c r="F29" s="41"/>
      <c r="G29" s="41"/>
      <c r="H29" s="41"/>
      <c r="I29" s="51" t="s">
        <v>10</v>
      </c>
      <c r="J29" s="47">
        <v>0</v>
      </c>
      <c r="K29" s="47">
        <v>0</v>
      </c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</row>
    <row r="30" spans="1:23" x14ac:dyDescent="0.25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</row>
    <row r="31" spans="1:23" x14ac:dyDescent="0.25">
      <c r="N31" s="1"/>
    </row>
    <row r="37" spans="14:14" x14ac:dyDescent="0.25">
      <c r="N37" s="5"/>
    </row>
    <row r="39" spans="14:14" x14ac:dyDescent="0.25">
      <c r="N39" s="5"/>
    </row>
    <row r="41" spans="14:14" x14ac:dyDescent="0.25">
      <c r="N41" s="5"/>
    </row>
    <row r="43" spans="14:14" x14ac:dyDescent="0.25">
      <c r="N43" s="5"/>
    </row>
    <row r="44" spans="14:14" x14ac:dyDescent="0.25">
      <c r="N44" s="5"/>
    </row>
  </sheetData>
  <mergeCells count="4">
    <mergeCell ref="C10:E10"/>
    <mergeCell ref="F10:H10"/>
    <mergeCell ref="I10:L10"/>
    <mergeCell ref="I18:L18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workbookViewId="0">
      <selection activeCell="H16" sqref="H16"/>
    </sheetView>
  </sheetViews>
  <sheetFormatPr defaultRowHeight="15" x14ac:dyDescent="0.25"/>
  <cols>
    <col min="1" max="1" width="2.28515625" style="41" customWidth="1"/>
    <col min="2" max="2" width="7.28515625" customWidth="1"/>
    <col min="14" max="14" width="5.85546875" customWidth="1"/>
    <col min="15" max="15" width="3.5703125" customWidth="1"/>
  </cols>
  <sheetData>
    <row r="1" spans="1:23" ht="30.75" customHeight="1" x14ac:dyDescent="0.3">
      <c r="B1" s="42" t="s">
        <v>164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 t="s">
        <v>42</v>
      </c>
      <c r="P1" s="41"/>
      <c r="Q1" s="41"/>
      <c r="R1" s="41"/>
      <c r="S1" s="41"/>
      <c r="T1" s="41"/>
      <c r="U1" s="41"/>
      <c r="V1" s="41"/>
      <c r="W1" s="41"/>
    </row>
    <row r="2" spans="1:23" x14ac:dyDescent="0.2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3" x14ac:dyDescent="0.25">
      <c r="B3" s="1" t="s">
        <v>1</v>
      </c>
      <c r="K3" s="39"/>
      <c r="L3" s="39" t="s">
        <v>101</v>
      </c>
      <c r="N3" s="41"/>
      <c r="O3" s="44" t="s">
        <v>0</v>
      </c>
      <c r="P3" s="41"/>
      <c r="Q3" s="41"/>
      <c r="R3" s="41"/>
      <c r="S3" s="41"/>
      <c r="T3" s="41"/>
      <c r="U3" s="41"/>
      <c r="V3" s="41"/>
      <c r="W3" s="41"/>
    </row>
    <row r="4" spans="1:23" x14ac:dyDescent="0.25">
      <c r="B4" s="3" t="s">
        <v>3</v>
      </c>
      <c r="C4" s="3" t="s">
        <v>4</v>
      </c>
      <c r="D4" s="3" t="s">
        <v>5</v>
      </c>
      <c r="E4" s="3" t="s">
        <v>6</v>
      </c>
      <c r="F4" s="66" t="s">
        <v>90</v>
      </c>
      <c r="G4" s="67"/>
      <c r="H4" s="67"/>
      <c r="I4" s="3" t="s">
        <v>100</v>
      </c>
      <c r="J4" s="3"/>
      <c r="K4" s="3"/>
      <c r="L4" s="3" t="s">
        <v>41</v>
      </c>
      <c r="M4" s="4"/>
      <c r="N4" s="41"/>
      <c r="O4" s="41" t="s">
        <v>43</v>
      </c>
      <c r="P4" s="41"/>
      <c r="Q4" s="41"/>
      <c r="R4" s="41"/>
      <c r="S4" s="41"/>
      <c r="T4" s="41"/>
      <c r="U4" s="41"/>
      <c r="V4" s="41"/>
      <c r="W4" s="41"/>
    </row>
    <row r="5" spans="1:23" x14ac:dyDescent="0.25">
      <c r="B5" s="39">
        <v>2</v>
      </c>
      <c r="C5" s="39" t="s">
        <v>9</v>
      </c>
      <c r="D5" s="57">
        <v>1</v>
      </c>
      <c r="E5" s="57">
        <v>1</v>
      </c>
      <c r="F5" t="s">
        <v>92</v>
      </c>
      <c r="G5" s="5"/>
      <c r="I5" s="38">
        <f>1/(2*cj)</f>
        <v>0.5</v>
      </c>
      <c r="J5" s="38"/>
      <c r="L5" s="38">
        <f>bj/(2*E6)</f>
        <v>0.25</v>
      </c>
      <c r="N5" s="41"/>
      <c r="O5" s="41"/>
      <c r="P5" s="41" t="s">
        <v>11</v>
      </c>
      <c r="Q5" s="41"/>
      <c r="R5" s="41" t="s">
        <v>55</v>
      </c>
      <c r="S5" s="41"/>
      <c r="T5" s="41"/>
      <c r="U5" s="41"/>
      <c r="V5" s="41"/>
      <c r="W5" s="41"/>
    </row>
    <row r="6" spans="1:23" x14ac:dyDescent="0.25">
      <c r="B6" s="4"/>
      <c r="C6" s="3" t="s">
        <v>10</v>
      </c>
      <c r="D6" s="58">
        <v>2</v>
      </c>
      <c r="E6" s="58">
        <v>2</v>
      </c>
      <c r="F6" s="4" t="s">
        <v>93</v>
      </c>
      <c r="G6" s="6"/>
      <c r="H6" s="4"/>
      <c r="I6" s="63">
        <f>1/(2*E6)</f>
        <v>0.25</v>
      </c>
      <c r="J6" s="63"/>
      <c r="K6" s="4"/>
      <c r="L6" s="63">
        <f>D6/(2*cj)</f>
        <v>1</v>
      </c>
      <c r="M6" s="4"/>
      <c r="N6" s="41"/>
      <c r="O6" s="41"/>
      <c r="P6" s="41" t="s">
        <v>44</v>
      </c>
      <c r="Q6" s="41"/>
      <c r="R6" s="41" t="s">
        <v>54</v>
      </c>
      <c r="S6" s="41"/>
      <c r="T6" s="41"/>
      <c r="U6" s="41"/>
      <c r="V6" s="41"/>
      <c r="W6" s="41"/>
    </row>
    <row r="7" spans="1:23" x14ac:dyDescent="0.25">
      <c r="C7" s="39"/>
      <c r="D7" s="39">
        <f>SUM(D5:D6)</f>
        <v>3</v>
      </c>
      <c r="F7" s="65" t="s">
        <v>49</v>
      </c>
      <c r="I7" s="38">
        <f>SUM(I5:I6)</f>
        <v>0.75</v>
      </c>
      <c r="J7" s="5" t="s">
        <v>64</v>
      </c>
      <c r="L7" s="38">
        <f>L5+L6</f>
        <v>1.25</v>
      </c>
      <c r="N7" s="41"/>
      <c r="O7" s="41"/>
      <c r="P7" s="41" t="s">
        <v>45</v>
      </c>
      <c r="Q7" s="41"/>
      <c r="R7" s="41" t="s">
        <v>52</v>
      </c>
      <c r="S7" s="41"/>
      <c r="T7" s="41"/>
      <c r="U7" s="41"/>
      <c r="V7" s="41"/>
      <c r="W7" s="41"/>
    </row>
    <row r="8" spans="1:23" x14ac:dyDescent="0.25">
      <c r="C8" s="39"/>
      <c r="D8" s="39"/>
      <c r="F8" s="5"/>
      <c r="I8" s="39"/>
      <c r="J8" s="39"/>
      <c r="N8" s="41"/>
      <c r="O8" s="41"/>
      <c r="P8" s="41" t="s">
        <v>49</v>
      </c>
      <c r="Q8" s="41"/>
      <c r="R8" s="41" t="s">
        <v>53</v>
      </c>
      <c r="S8" s="41"/>
      <c r="T8" s="41"/>
      <c r="U8" s="41"/>
      <c r="V8" s="41"/>
      <c r="W8" s="41"/>
    </row>
    <row r="9" spans="1:23" x14ac:dyDescent="0.25">
      <c r="B9" s="7" t="s">
        <v>89</v>
      </c>
      <c r="N9" s="41"/>
      <c r="O9" s="41"/>
      <c r="P9" s="41"/>
      <c r="Q9" s="41"/>
      <c r="R9" s="41"/>
      <c r="S9" s="41"/>
      <c r="T9" s="41"/>
      <c r="U9" s="41"/>
      <c r="V9" s="41"/>
      <c r="W9" s="41"/>
    </row>
    <row r="10" spans="1:23" x14ac:dyDescent="0.25">
      <c r="C10" s="202" t="s">
        <v>12</v>
      </c>
      <c r="D10" s="203"/>
      <c r="E10" s="204"/>
      <c r="F10" s="205" t="s">
        <v>13</v>
      </c>
      <c r="G10" s="206"/>
      <c r="H10" s="207"/>
      <c r="I10" s="208" t="s">
        <v>99</v>
      </c>
      <c r="J10" s="209"/>
      <c r="K10" s="209"/>
      <c r="L10" s="209"/>
      <c r="M10" s="210"/>
      <c r="N10" s="41"/>
      <c r="O10" s="44" t="s">
        <v>51</v>
      </c>
      <c r="P10" s="41"/>
      <c r="Q10" s="41"/>
      <c r="R10" s="41"/>
      <c r="S10" s="41"/>
      <c r="T10" s="41"/>
      <c r="U10" s="41"/>
      <c r="V10" s="41"/>
      <c r="W10" s="41"/>
    </row>
    <row r="11" spans="1:23" x14ac:dyDescent="0.25">
      <c r="B11" s="39" t="s">
        <v>15</v>
      </c>
      <c r="C11" s="8" t="s">
        <v>16</v>
      </c>
      <c r="D11" s="9" t="s">
        <v>8</v>
      </c>
      <c r="E11" s="10" t="s">
        <v>110</v>
      </c>
      <c r="F11" s="8" t="s">
        <v>16</v>
      </c>
      <c r="G11" s="9" t="s">
        <v>8</v>
      </c>
      <c r="H11" s="10" t="s">
        <v>110</v>
      </c>
      <c r="I11" s="8" t="s">
        <v>17</v>
      </c>
      <c r="J11" s="9" t="s">
        <v>20</v>
      </c>
      <c r="K11" s="9" t="s">
        <v>16</v>
      </c>
      <c r="L11" s="9" t="s">
        <v>8</v>
      </c>
      <c r="M11" s="10" t="s">
        <v>110</v>
      </c>
      <c r="N11" s="41"/>
      <c r="O11" s="41" t="s">
        <v>46</v>
      </c>
      <c r="P11" s="41"/>
      <c r="Q11" s="41"/>
      <c r="R11" s="41"/>
      <c r="S11" s="41"/>
      <c r="T11" s="41"/>
      <c r="U11" s="41"/>
      <c r="V11" s="41"/>
      <c r="W11" s="41"/>
    </row>
    <row r="12" spans="1:23" x14ac:dyDescent="0.25">
      <c r="B12" s="39">
        <v>1</v>
      </c>
      <c r="C12" s="68">
        <f>D12/(2*cj)</f>
        <v>1.5</v>
      </c>
      <c r="D12" s="13">
        <f>D7</f>
        <v>3</v>
      </c>
      <c r="E12" s="62">
        <f>D5*C$14-E5*C12^2</f>
        <v>0</v>
      </c>
      <c r="F12" s="59">
        <f>bj/(2*cj)</f>
        <v>0.5</v>
      </c>
      <c r="G12" s="61">
        <f>2*cj*F12</f>
        <v>1</v>
      </c>
      <c r="H12" s="62">
        <f>bj*F14-cj*F12^2</f>
        <v>0.75</v>
      </c>
      <c r="I12" s="165">
        <f>Aj+(bj-L12)/(2*E6)</f>
        <v>0.33333333333333331</v>
      </c>
      <c r="J12" s="166">
        <f>L12-2*cj*K12</f>
        <v>0.66666666666666674</v>
      </c>
      <c r="K12" s="61">
        <f>F12</f>
        <v>0.5</v>
      </c>
      <c r="L12" s="61">
        <f>L7/k</f>
        <v>1.6666666666666667</v>
      </c>
      <c r="M12" s="62">
        <f>bj*K14-cj*Aj^2+L12*(Aj-Tj)</f>
        <v>1.0277777777777779</v>
      </c>
      <c r="N12" s="41"/>
      <c r="O12" s="41"/>
      <c r="P12" s="41" t="s">
        <v>11</v>
      </c>
      <c r="Q12" s="41"/>
      <c r="R12" s="41" t="s">
        <v>55</v>
      </c>
      <c r="S12" s="41"/>
      <c r="T12" s="41"/>
      <c r="U12" s="41"/>
      <c r="V12" s="41"/>
      <c r="W12" s="41"/>
    </row>
    <row r="13" spans="1:23" x14ac:dyDescent="0.25">
      <c r="B13" s="3">
        <v>2</v>
      </c>
      <c r="C13" s="69">
        <f>D13/(2*E6)</f>
        <v>0.75</v>
      </c>
      <c r="D13" s="16">
        <f>D7</f>
        <v>3</v>
      </c>
      <c r="E13" s="64">
        <f>D6*C$14-E6*C13^2</f>
        <v>3.375</v>
      </c>
      <c r="F13" s="60">
        <f>D6/(2*E6)</f>
        <v>0.5</v>
      </c>
      <c r="G13" s="63">
        <f>2*E6*F13</f>
        <v>2</v>
      </c>
      <c r="H13" s="64">
        <f>D6*F14-E6*F13^2</f>
        <v>1.5</v>
      </c>
      <c r="I13" s="60">
        <f>K13+(D6-L13)/(2*cj)</f>
        <v>0.66666666666666663</v>
      </c>
      <c r="J13" s="63">
        <f>L13-2*E6*K13</f>
        <v>-0.33333333333333326</v>
      </c>
      <c r="K13" s="167">
        <f>F13</f>
        <v>0.5</v>
      </c>
      <c r="L13" s="63">
        <f>L12</f>
        <v>1.6666666666666667</v>
      </c>
      <c r="M13" s="64">
        <f>D6*K14-E6*K13^2+L13*(K13-I13)</f>
        <v>1.2222222222222223</v>
      </c>
      <c r="N13" s="41"/>
      <c r="O13" s="41"/>
      <c r="P13" s="41" t="s">
        <v>48</v>
      </c>
      <c r="Q13" s="41"/>
      <c r="R13" s="41" t="s">
        <v>54</v>
      </c>
      <c r="S13" s="41"/>
      <c r="T13" s="41"/>
      <c r="U13" s="41"/>
      <c r="V13" s="41"/>
      <c r="W13" s="41"/>
    </row>
    <row r="14" spans="1:23" x14ac:dyDescent="0.25">
      <c r="B14" s="39" t="s">
        <v>18</v>
      </c>
      <c r="C14" s="13">
        <f>C12+C13</f>
        <v>2.25</v>
      </c>
      <c r="D14" s="9"/>
      <c r="E14" s="61">
        <f>E12+E13</f>
        <v>3.375</v>
      </c>
      <c r="F14" s="61">
        <f>F12+F13</f>
        <v>1</v>
      </c>
      <c r="G14" s="61"/>
      <c r="H14" s="61">
        <f>H12+H13</f>
        <v>2.25</v>
      </c>
      <c r="I14" s="61">
        <f>I12+I13</f>
        <v>1</v>
      </c>
      <c r="J14" s="61"/>
      <c r="K14" s="166">
        <f>K12+K13</f>
        <v>1</v>
      </c>
      <c r="L14" s="61"/>
      <c r="M14" s="61">
        <f>M12+M13</f>
        <v>2.25</v>
      </c>
      <c r="N14" s="41"/>
      <c r="O14" s="41"/>
      <c r="P14" s="150" t="s">
        <v>47</v>
      </c>
      <c r="Q14" s="41"/>
      <c r="R14" s="41" t="s">
        <v>52</v>
      </c>
      <c r="S14" s="41"/>
      <c r="T14" s="41"/>
      <c r="U14" s="41"/>
      <c r="V14" s="41"/>
      <c r="W14" s="41"/>
    </row>
    <row r="15" spans="1:23" x14ac:dyDescent="0.25">
      <c r="A15" s="46"/>
      <c r="B15" s="17"/>
      <c r="C15" s="9"/>
      <c r="D15" s="9"/>
      <c r="E15" s="9"/>
      <c r="F15" s="18" t="s">
        <v>203</v>
      </c>
      <c r="G15" s="9"/>
      <c r="H15" s="9"/>
      <c r="I15" s="9"/>
      <c r="J15" s="9"/>
      <c r="K15" s="9"/>
      <c r="L15" s="9"/>
      <c r="M15" s="12"/>
      <c r="N15" s="41"/>
      <c r="O15" s="44"/>
      <c r="P15" s="41" t="s">
        <v>49</v>
      </c>
      <c r="Q15" s="41"/>
      <c r="R15" s="41" t="s">
        <v>53</v>
      </c>
      <c r="S15" s="41"/>
      <c r="T15" s="41"/>
      <c r="U15" s="41"/>
      <c r="V15" s="41"/>
      <c r="W15" s="41"/>
    </row>
    <row r="16" spans="1:23" x14ac:dyDescent="0.25">
      <c r="A16" s="53"/>
      <c r="B16" s="54"/>
      <c r="C16" s="55"/>
      <c r="D16" s="55"/>
      <c r="E16" s="55"/>
      <c r="F16" s="54"/>
      <c r="G16" s="55"/>
      <c r="H16" s="55"/>
      <c r="I16" s="55"/>
      <c r="J16" s="55"/>
      <c r="K16" s="55"/>
      <c r="L16" s="55"/>
      <c r="M16" s="56"/>
      <c r="N16" s="41"/>
      <c r="O16" s="41"/>
      <c r="P16" s="41"/>
      <c r="Q16" s="41"/>
      <c r="R16" s="41"/>
      <c r="S16" s="41"/>
      <c r="T16" s="41"/>
      <c r="U16" s="41"/>
      <c r="V16" s="41"/>
      <c r="W16" s="41"/>
    </row>
    <row r="17" spans="1:23" x14ac:dyDescent="0.25">
      <c r="A17" s="54"/>
      <c r="B17" s="44" t="s">
        <v>123</v>
      </c>
      <c r="C17" s="41"/>
      <c r="D17" s="41"/>
      <c r="E17" s="41"/>
      <c r="F17" s="41"/>
      <c r="G17" s="41"/>
      <c r="H17" s="44"/>
      <c r="I17" s="44" t="s">
        <v>126</v>
      </c>
      <c r="J17" s="41"/>
      <c r="K17" s="41"/>
      <c r="L17" s="41"/>
      <c r="M17" s="41"/>
      <c r="N17" s="41"/>
      <c r="O17" s="44" t="s">
        <v>94</v>
      </c>
      <c r="P17" s="41"/>
      <c r="Q17" s="41"/>
      <c r="R17" s="41"/>
      <c r="S17" s="41"/>
      <c r="T17" s="41"/>
      <c r="U17" s="41"/>
      <c r="V17" s="41"/>
      <c r="W17" s="41"/>
    </row>
    <row r="18" spans="1:23" x14ac:dyDescent="0.25">
      <c r="B18" s="41" t="s">
        <v>107</v>
      </c>
      <c r="C18" s="41"/>
      <c r="D18" s="41"/>
      <c r="E18" s="41"/>
      <c r="F18" s="41"/>
      <c r="G18" s="41"/>
      <c r="H18" s="41"/>
      <c r="I18" s="208" t="s">
        <v>99</v>
      </c>
      <c r="J18" s="209"/>
      <c r="K18" s="209"/>
      <c r="L18" s="209"/>
      <c r="M18" s="210"/>
      <c r="N18" s="41"/>
      <c r="O18" s="41" t="s">
        <v>96</v>
      </c>
      <c r="P18" s="41"/>
      <c r="Q18" s="41"/>
      <c r="R18" s="41"/>
      <c r="S18" s="41"/>
      <c r="T18" s="41"/>
      <c r="U18" s="41"/>
      <c r="V18" s="41"/>
      <c r="W18" s="41"/>
    </row>
    <row r="19" spans="1:23" x14ac:dyDescent="0.25">
      <c r="B19" s="41" t="s">
        <v>108</v>
      </c>
      <c r="C19" s="41"/>
      <c r="D19" s="41"/>
      <c r="E19" s="41"/>
      <c r="F19" s="41"/>
      <c r="H19" s="41"/>
      <c r="I19" s="8" t="s">
        <v>17</v>
      </c>
      <c r="J19" s="9" t="s">
        <v>20</v>
      </c>
      <c r="K19" s="9" t="s">
        <v>16</v>
      </c>
      <c r="L19" s="9" t="s">
        <v>8</v>
      </c>
      <c r="M19" s="10" t="s">
        <v>110</v>
      </c>
      <c r="N19" s="41"/>
      <c r="O19" s="41"/>
      <c r="P19" s="41" t="s">
        <v>59</v>
      </c>
      <c r="Q19" s="41"/>
      <c r="R19" s="41"/>
      <c r="S19" s="41"/>
      <c r="T19" s="41"/>
      <c r="U19" s="41"/>
      <c r="V19" s="41"/>
      <c r="W19" s="41"/>
    </row>
    <row r="20" spans="1:23" x14ac:dyDescent="0.25">
      <c r="B20" s="41" t="s">
        <v>109</v>
      </c>
      <c r="C20" s="41"/>
      <c r="D20" s="41"/>
      <c r="E20" s="41"/>
      <c r="F20" s="41"/>
      <c r="G20" s="41"/>
      <c r="H20" s="41"/>
      <c r="I20" s="59">
        <f>Tj+0.01*I28-0.01*J28</f>
        <v>0.33333333333333331</v>
      </c>
      <c r="J20" s="166">
        <f>sj+0.03*L28-0.03*M28</f>
        <v>0.66666666666666674</v>
      </c>
      <c r="K20" s="61">
        <f>(L20-J20)/(2*cj)</f>
        <v>0.50000000000000011</v>
      </c>
      <c r="L20" s="38">
        <f>(2*I22+J20/cj+J21/E6)/(1/cj+1/E6)</f>
        <v>1.666666666666667</v>
      </c>
      <c r="M20" s="62">
        <f>bj*K22-cj*K20^2+L20*(K20-I20)</f>
        <v>1.0277777777777779</v>
      </c>
      <c r="N20" s="41"/>
      <c r="O20" s="41"/>
      <c r="P20" s="41" t="s">
        <v>95</v>
      </c>
      <c r="Q20" s="41"/>
      <c r="R20" s="41" t="s">
        <v>115</v>
      </c>
      <c r="S20" s="41"/>
      <c r="T20" s="41"/>
      <c r="U20" s="41"/>
      <c r="V20" s="41"/>
      <c r="W20" s="41"/>
    </row>
    <row r="21" spans="1:23" x14ac:dyDescent="0.25">
      <c r="B21" s="41"/>
      <c r="C21" s="41"/>
      <c r="D21" s="41"/>
      <c r="E21" s="41"/>
      <c r="F21" s="41"/>
      <c r="G21" s="41"/>
      <c r="H21" s="41"/>
      <c r="I21" s="60">
        <f>I13+0.01*I29-0.01*J29</f>
        <v>0.66666666666666663</v>
      </c>
      <c r="J21" s="63">
        <f>J13+0.03*L29-0.03*M29</f>
        <v>-0.33333333333333326</v>
      </c>
      <c r="K21" s="63">
        <f>(L21-J21)/(2*E6)</f>
        <v>0.5</v>
      </c>
      <c r="L21" s="63">
        <f>L20</f>
        <v>1.666666666666667</v>
      </c>
      <c r="M21" s="64">
        <f>D6*K22-E6*K21^2+L21*(K21-I21)</f>
        <v>1.2222222222222223</v>
      </c>
      <c r="N21" s="41"/>
      <c r="O21" s="41"/>
      <c r="P21" s="41" t="s">
        <v>116</v>
      </c>
      <c r="Q21" s="41"/>
      <c r="R21" s="41" t="s">
        <v>117</v>
      </c>
      <c r="S21" s="41"/>
      <c r="T21" s="41"/>
      <c r="U21" s="41"/>
      <c r="V21" s="41"/>
      <c r="W21" s="41"/>
    </row>
    <row r="22" spans="1:23" x14ac:dyDescent="0.25">
      <c r="B22" s="50">
        <v>1</v>
      </c>
      <c r="C22" s="41" t="s">
        <v>120</v>
      </c>
      <c r="D22" s="41"/>
      <c r="E22" s="41"/>
      <c r="F22" s="41"/>
      <c r="G22" s="41"/>
      <c r="H22" s="41"/>
      <c r="I22" s="168">
        <f>I20+I21</f>
        <v>1</v>
      </c>
      <c r="J22" s="168"/>
      <c r="K22" s="168">
        <f>K20+K21</f>
        <v>1</v>
      </c>
      <c r="L22" s="168"/>
      <c r="M22" s="38"/>
      <c r="N22" s="41"/>
      <c r="O22" s="41"/>
      <c r="P22" s="41" t="s">
        <v>97</v>
      </c>
      <c r="Q22" s="41"/>
      <c r="R22" s="41"/>
      <c r="S22" s="41" t="s">
        <v>98</v>
      </c>
      <c r="T22" s="41"/>
      <c r="U22" s="41"/>
      <c r="V22" s="41"/>
      <c r="W22" s="41"/>
    </row>
    <row r="23" spans="1:23" x14ac:dyDescent="0.25">
      <c r="B23" s="41"/>
      <c r="C23" s="41" t="s">
        <v>121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4"/>
      <c r="P23" s="41" t="s">
        <v>102</v>
      </c>
      <c r="Q23" s="41"/>
      <c r="R23" s="41"/>
      <c r="S23" s="41"/>
      <c r="T23" s="41"/>
      <c r="U23" s="41"/>
      <c r="V23" s="41"/>
      <c r="W23" s="41"/>
    </row>
    <row r="24" spans="1:23" x14ac:dyDescent="0.25">
      <c r="B24" s="50">
        <v>2</v>
      </c>
      <c r="C24" s="41" t="s">
        <v>118</v>
      </c>
      <c r="D24" s="41"/>
      <c r="E24" s="41" t="s">
        <v>105</v>
      </c>
      <c r="F24" s="41"/>
      <c r="G24" s="41"/>
      <c r="H24" s="41"/>
      <c r="I24" s="41" t="s">
        <v>82</v>
      </c>
      <c r="J24" s="41"/>
      <c r="K24" s="41"/>
      <c r="L24" s="41"/>
      <c r="M24" s="41"/>
      <c r="N24" s="41"/>
      <c r="O24" s="41"/>
      <c r="P24" s="150" t="s">
        <v>113</v>
      </c>
      <c r="Q24" s="41"/>
      <c r="R24" s="41" t="s">
        <v>103</v>
      </c>
      <c r="S24" s="41"/>
      <c r="T24" s="41"/>
      <c r="U24" s="41"/>
      <c r="V24" s="41"/>
      <c r="W24" s="41"/>
    </row>
    <row r="25" spans="1:23" x14ac:dyDescent="0.25">
      <c r="B25" s="50">
        <v>3</v>
      </c>
      <c r="C25" t="s">
        <v>119</v>
      </c>
      <c r="D25" s="41"/>
      <c r="E25" s="41" t="s">
        <v>105</v>
      </c>
      <c r="F25" s="41"/>
      <c r="G25" s="41"/>
      <c r="H25" s="41"/>
      <c r="I25" s="41" t="s">
        <v>124</v>
      </c>
      <c r="J25" s="41"/>
      <c r="K25" s="41"/>
      <c r="L25" s="41"/>
      <c r="M25" s="41"/>
      <c r="N25" s="41"/>
      <c r="O25" s="41"/>
      <c r="P25" s="150" t="s">
        <v>114</v>
      </c>
      <c r="Q25" s="41"/>
      <c r="R25" s="41" t="s">
        <v>104</v>
      </c>
      <c r="S25" s="41"/>
      <c r="T25" s="41"/>
      <c r="U25" s="41"/>
      <c r="V25" s="41"/>
      <c r="W25" s="41"/>
    </row>
    <row r="26" spans="1:23" x14ac:dyDescent="0.25">
      <c r="B26" s="50"/>
      <c r="C26" s="41"/>
      <c r="D26" s="41"/>
      <c r="E26" s="41"/>
      <c r="F26" s="41"/>
      <c r="G26" s="41"/>
      <c r="H26" s="41"/>
      <c r="I26" s="41" t="s">
        <v>125</v>
      </c>
      <c r="J26" s="41"/>
      <c r="K26" s="41"/>
      <c r="L26" s="41"/>
      <c r="M26" s="41"/>
      <c r="N26" s="41"/>
      <c r="O26" s="41"/>
      <c r="P26" s="41" t="s">
        <v>106</v>
      </c>
      <c r="Q26" s="41"/>
      <c r="R26" s="41" t="s">
        <v>105</v>
      </c>
      <c r="S26" s="41"/>
      <c r="T26" s="41"/>
      <c r="U26" s="41"/>
      <c r="V26" s="41"/>
      <c r="W26" s="41"/>
    </row>
    <row r="27" spans="1:23" x14ac:dyDescent="0.25">
      <c r="B27" s="164"/>
      <c r="C27" s="164"/>
      <c r="D27" s="164"/>
      <c r="E27" s="164"/>
      <c r="F27" s="41"/>
      <c r="G27" s="41"/>
      <c r="H27" s="41"/>
      <c r="I27" s="50" t="s">
        <v>85</v>
      </c>
      <c r="J27" s="50" t="s">
        <v>84</v>
      </c>
      <c r="K27" s="41"/>
      <c r="L27" s="50" t="s">
        <v>111</v>
      </c>
      <c r="M27" s="50" t="s">
        <v>112</v>
      </c>
      <c r="N27" s="41"/>
      <c r="O27" s="41"/>
      <c r="P27" s="41"/>
      <c r="Q27" s="41"/>
      <c r="R27" s="41"/>
      <c r="S27" s="41"/>
      <c r="T27" s="41"/>
      <c r="U27" s="41"/>
      <c r="V27" s="41"/>
      <c r="W27" s="41"/>
    </row>
    <row r="28" spans="1:23" x14ac:dyDescent="0.25">
      <c r="B28" s="164"/>
      <c r="C28" s="164"/>
      <c r="D28" s="164"/>
      <c r="E28" s="164"/>
      <c r="F28" s="41"/>
      <c r="G28" s="41"/>
      <c r="H28" s="51" t="s">
        <v>9</v>
      </c>
      <c r="I28" s="47">
        <v>0</v>
      </c>
      <c r="J28" s="47">
        <v>0</v>
      </c>
      <c r="K28" s="41"/>
      <c r="L28" s="70">
        <v>0</v>
      </c>
      <c r="M28" s="70">
        <v>0</v>
      </c>
      <c r="N28" s="41"/>
      <c r="O28" s="41"/>
      <c r="P28" s="41"/>
      <c r="Q28" s="41"/>
      <c r="R28" s="41"/>
      <c r="S28" s="54"/>
      <c r="T28" s="41"/>
      <c r="U28" s="41"/>
      <c r="V28" s="41"/>
      <c r="W28" s="41"/>
    </row>
    <row r="29" spans="1:23" x14ac:dyDescent="0.25">
      <c r="B29" s="164"/>
      <c r="C29" s="164"/>
      <c r="D29" s="164"/>
      <c r="E29" s="164"/>
      <c r="F29" s="41"/>
      <c r="G29" s="41"/>
      <c r="H29" s="51" t="s">
        <v>10</v>
      </c>
      <c r="I29" s="47">
        <v>0</v>
      </c>
      <c r="J29" s="47">
        <v>0</v>
      </c>
      <c r="K29" s="41"/>
      <c r="L29" s="70">
        <v>0</v>
      </c>
      <c r="M29" s="70">
        <v>0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</row>
    <row r="30" spans="1:23" x14ac:dyDescent="0.25">
      <c r="B30" s="164"/>
      <c r="C30" s="164"/>
      <c r="D30" s="164"/>
      <c r="E30" s="164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150"/>
      <c r="Q30" s="41"/>
      <c r="R30" s="41"/>
      <c r="S30" s="41"/>
      <c r="T30" s="41"/>
      <c r="U30" s="41"/>
      <c r="V30" s="41"/>
      <c r="W30" s="41"/>
    </row>
    <row r="31" spans="1:23" x14ac:dyDescent="0.25">
      <c r="N31" s="41"/>
      <c r="O31" s="44"/>
      <c r="P31" s="41"/>
      <c r="Q31" s="41"/>
      <c r="R31" s="41"/>
      <c r="S31" s="41"/>
      <c r="T31" s="41"/>
      <c r="U31" s="41"/>
      <c r="V31" s="41"/>
      <c r="W31" s="41"/>
    </row>
    <row r="37" spans="15:15" x14ac:dyDescent="0.25">
      <c r="O37" s="5"/>
    </row>
    <row r="39" spans="15:15" x14ac:dyDescent="0.25">
      <c r="O39" s="5"/>
    </row>
    <row r="41" spans="15:15" x14ac:dyDescent="0.25">
      <c r="O41" s="5"/>
    </row>
    <row r="43" spans="15:15" x14ac:dyDescent="0.25">
      <c r="O43" s="5"/>
    </row>
    <row r="44" spans="15:15" x14ac:dyDescent="0.25">
      <c r="O44" s="5"/>
    </row>
  </sheetData>
  <mergeCells count="4">
    <mergeCell ref="C10:E10"/>
    <mergeCell ref="F10:H10"/>
    <mergeCell ref="I10:M10"/>
    <mergeCell ref="I18:M18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5"/>
  <sheetViews>
    <sheetView topLeftCell="A2" zoomScaleNormal="100" workbookViewId="0">
      <selection activeCell="A29" sqref="A29"/>
    </sheetView>
  </sheetViews>
  <sheetFormatPr defaultRowHeight="15" x14ac:dyDescent="0.25"/>
  <cols>
    <col min="1" max="1" width="3.7109375" customWidth="1"/>
    <col min="2" max="2" width="5.85546875" customWidth="1"/>
    <col min="3" max="3" width="7.7109375" customWidth="1"/>
    <col min="4" max="4" width="3.42578125" customWidth="1"/>
    <col min="5" max="5" width="8.140625" customWidth="1"/>
    <col min="6" max="10" width="6.42578125" customWidth="1"/>
    <col min="12" max="12" width="11.140625" customWidth="1"/>
  </cols>
  <sheetData>
    <row r="1" spans="1:20" s="41" customFormat="1" ht="30.75" customHeight="1" x14ac:dyDescent="0.3">
      <c r="B1" s="42" t="s">
        <v>122</v>
      </c>
    </row>
    <row r="2" spans="1:20" ht="5.25" customHeight="1" x14ac:dyDescent="0.3">
      <c r="A2" s="88"/>
      <c r="B2" s="89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20" x14ac:dyDescent="0.25">
      <c r="C3" s="23" t="s">
        <v>135</v>
      </c>
    </row>
    <row r="4" spans="1:20" x14ac:dyDescent="0.25">
      <c r="B4" s="20"/>
      <c r="D4" s="22"/>
      <c r="E4" s="22"/>
      <c r="F4" s="22"/>
      <c r="G4" s="22"/>
      <c r="H4" s="22"/>
      <c r="I4" s="39"/>
      <c r="J4" s="22"/>
      <c r="K4" s="22"/>
      <c r="L4" s="39" t="s">
        <v>134</v>
      </c>
      <c r="M4" s="39"/>
      <c r="N4" s="84" t="s">
        <v>133</v>
      </c>
      <c r="O4" s="84"/>
      <c r="P4" s="217" t="s">
        <v>22</v>
      </c>
      <c r="Q4" s="217"/>
      <c r="R4" s="217"/>
      <c r="S4" s="217"/>
    </row>
    <row r="5" spans="1:20" x14ac:dyDescent="0.25">
      <c r="B5" s="20"/>
      <c r="C5" s="75" t="s">
        <v>2</v>
      </c>
      <c r="D5" s="76"/>
      <c r="E5" s="76" t="s">
        <v>4</v>
      </c>
      <c r="F5" s="36" t="s">
        <v>23</v>
      </c>
      <c r="G5" s="36" t="s">
        <v>24</v>
      </c>
      <c r="H5" s="36" t="s">
        <v>25</v>
      </c>
      <c r="I5" s="36" t="s">
        <v>5</v>
      </c>
      <c r="J5" s="36" t="s">
        <v>6</v>
      </c>
      <c r="K5" s="36" t="s">
        <v>7</v>
      </c>
      <c r="L5" s="36" t="s">
        <v>127</v>
      </c>
      <c r="M5" s="36" t="s">
        <v>139</v>
      </c>
      <c r="N5" s="40" t="s">
        <v>16</v>
      </c>
      <c r="O5" s="40" t="s">
        <v>26</v>
      </c>
      <c r="P5" s="40" t="s">
        <v>21</v>
      </c>
      <c r="Q5" s="40" t="s">
        <v>146</v>
      </c>
      <c r="R5" s="40" t="s">
        <v>138</v>
      </c>
      <c r="S5" s="40" t="s">
        <v>110</v>
      </c>
    </row>
    <row r="6" spans="1:20" x14ac:dyDescent="0.25">
      <c r="B6" s="20"/>
      <c r="C6" s="77">
        <v>2.4</v>
      </c>
      <c r="D6" s="78" t="s">
        <v>27</v>
      </c>
      <c r="E6" s="139" t="s">
        <v>28</v>
      </c>
      <c r="F6" s="77">
        <v>0.3</v>
      </c>
      <c r="G6" s="77">
        <v>18</v>
      </c>
      <c r="H6" s="79">
        <f>F6*G6</f>
        <v>5.3999999999999995</v>
      </c>
      <c r="I6" s="80">
        <f>C$6*H6</f>
        <v>12.959999999999999</v>
      </c>
      <c r="J6" s="80">
        <f>(C$7/H6)</f>
        <v>13.888888888888891</v>
      </c>
      <c r="K6" s="80">
        <f>1/J6</f>
        <v>7.1999999999999995E-2</v>
      </c>
      <c r="L6" s="81">
        <f>I6*J6*K$9</f>
        <v>30.000000000000004</v>
      </c>
      <c r="M6" s="81">
        <f>MIN(L6:L8)</f>
        <v>29.999999999999993</v>
      </c>
      <c r="N6" s="80">
        <f>M6/(2*J6)</f>
        <v>1.0799999999999996</v>
      </c>
      <c r="O6" s="80">
        <f>N$9</f>
        <v>2.4999999999999991</v>
      </c>
      <c r="P6" s="81">
        <f>bj*O6</f>
        <v>32.399999999999984</v>
      </c>
      <c r="Q6" s="81">
        <f>J6*(N6^2)</f>
        <v>16.199999999999992</v>
      </c>
      <c r="R6" s="81">
        <v>0</v>
      </c>
      <c r="S6" s="81">
        <f>P6-Q6</f>
        <v>16.199999999999992</v>
      </c>
    </row>
    <row r="7" spans="1:20" x14ac:dyDescent="0.25">
      <c r="B7" s="22"/>
      <c r="C7" s="25">
        <v>75</v>
      </c>
      <c r="D7" s="26" t="s">
        <v>29</v>
      </c>
      <c r="E7" s="36" t="s">
        <v>30</v>
      </c>
      <c r="F7" s="25">
        <v>1.2</v>
      </c>
      <c r="G7" s="25">
        <v>5</v>
      </c>
      <c r="H7" s="27">
        <f>F7*G7</f>
        <v>6</v>
      </c>
      <c r="I7" s="28">
        <f>C$6*H7</f>
        <v>14.399999999999999</v>
      </c>
      <c r="J7" s="28">
        <f>(C$7/H7)</f>
        <v>12.5</v>
      </c>
      <c r="K7" s="28">
        <f>1/J7</f>
        <v>0.08</v>
      </c>
      <c r="L7" s="29">
        <f t="shared" ref="L7:L8" si="0">I7*J7*K$9</f>
        <v>29.999999999999993</v>
      </c>
      <c r="M7" s="29">
        <f>M6</f>
        <v>29.999999999999993</v>
      </c>
      <c r="N7" s="28">
        <f t="shared" ref="N7:N8" si="1">M7/(2*J7)</f>
        <v>1.1999999999999997</v>
      </c>
      <c r="O7" s="28">
        <f t="shared" ref="O7:O8" si="2">N$9</f>
        <v>2.4999999999999991</v>
      </c>
      <c r="P7" s="29">
        <f>I7*O7</f>
        <v>35.999999999999986</v>
      </c>
      <c r="Q7" s="29">
        <f>J7*(N7^2)</f>
        <v>17.999999999999989</v>
      </c>
      <c r="R7" s="29">
        <v>0</v>
      </c>
      <c r="S7" s="29">
        <f t="shared" ref="S7:S8" si="3">P7-Q7</f>
        <v>17.999999999999996</v>
      </c>
    </row>
    <row r="8" spans="1:20" x14ac:dyDescent="0.25">
      <c r="B8" s="19"/>
      <c r="C8" s="71">
        <v>0</v>
      </c>
      <c r="D8" s="31" t="s">
        <v>31</v>
      </c>
      <c r="E8" s="24" t="s">
        <v>32</v>
      </c>
      <c r="F8" s="32">
        <v>1</v>
      </c>
      <c r="G8" s="32">
        <v>1.1000000000000001</v>
      </c>
      <c r="H8" s="33">
        <f>F8*G8</f>
        <v>1.1000000000000001</v>
      </c>
      <c r="I8" s="34">
        <f>C$6*H8</f>
        <v>2.64</v>
      </c>
      <c r="J8" s="34">
        <f>(C$7/H8)</f>
        <v>68.181818181818173</v>
      </c>
      <c r="K8" s="34">
        <f>1/J8</f>
        <v>1.4666666666666668E-2</v>
      </c>
      <c r="L8" s="35">
        <f t="shared" si="0"/>
        <v>29.999999999999993</v>
      </c>
      <c r="M8" s="35">
        <f>M6</f>
        <v>29.999999999999993</v>
      </c>
      <c r="N8" s="34">
        <f t="shared" si="1"/>
        <v>0.21999999999999997</v>
      </c>
      <c r="O8" s="34">
        <f t="shared" si="2"/>
        <v>2.4999999999999991</v>
      </c>
      <c r="P8" s="35">
        <f>I8*O8</f>
        <v>6.5999999999999979</v>
      </c>
      <c r="Q8" s="35">
        <f>J8*(N8^2)</f>
        <v>3.2999999999999989</v>
      </c>
      <c r="R8" s="35">
        <v>0</v>
      </c>
      <c r="S8" s="35">
        <f t="shared" si="3"/>
        <v>3.2999999999999989</v>
      </c>
    </row>
    <row r="9" spans="1:20" x14ac:dyDescent="0.25">
      <c r="B9" s="19"/>
      <c r="C9" s="22"/>
      <c r="D9" s="23"/>
      <c r="E9" s="137"/>
      <c r="F9" s="28">
        <f>SUM(F6:F8)</f>
        <v>2.5</v>
      </c>
      <c r="G9" s="28">
        <f>H9/F9</f>
        <v>4.9999999999999991</v>
      </c>
      <c r="H9" s="28">
        <f>SUM(H6:H8)</f>
        <v>12.499999999999998</v>
      </c>
      <c r="I9" s="29">
        <f>SUM(I6:I8)</f>
        <v>30</v>
      </c>
      <c r="J9" s="20"/>
      <c r="K9" s="28">
        <f>SUM(K6:K8)</f>
        <v>0.16666666666666666</v>
      </c>
      <c r="L9" s="72" t="s">
        <v>128</v>
      </c>
      <c r="M9" s="72"/>
      <c r="N9" s="45">
        <f>SUM(N6:N8)</f>
        <v>2.4999999999999991</v>
      </c>
      <c r="O9" s="20"/>
      <c r="P9" s="20"/>
      <c r="Q9" s="103">
        <f>SUM(Q6:Q8)</f>
        <v>37.499999999999979</v>
      </c>
      <c r="R9" s="20"/>
      <c r="S9" s="22"/>
    </row>
    <row r="10" spans="1:20" x14ac:dyDescent="0.25">
      <c r="B10" s="22"/>
      <c r="E10" s="26"/>
      <c r="F10" s="36" t="s">
        <v>34</v>
      </c>
      <c r="G10" s="36" t="s">
        <v>35</v>
      </c>
      <c r="H10" s="36" t="s">
        <v>36</v>
      </c>
      <c r="I10" s="74" t="s">
        <v>130</v>
      </c>
      <c r="J10" s="36"/>
      <c r="K10" s="36" t="s">
        <v>37</v>
      </c>
      <c r="L10" s="73" t="s">
        <v>129</v>
      </c>
      <c r="M10" s="73"/>
      <c r="N10" s="82">
        <f>N9/H9</f>
        <v>0.19999999999999996</v>
      </c>
      <c r="O10" s="83" t="s">
        <v>132</v>
      </c>
      <c r="P10" s="21"/>
      <c r="Q10" s="37"/>
      <c r="R10" s="37"/>
      <c r="S10" s="21"/>
    </row>
    <row r="11" spans="1:20" x14ac:dyDescent="0.25">
      <c r="E11" s="117"/>
      <c r="I11" t="s">
        <v>131</v>
      </c>
    </row>
    <row r="12" spans="1:20" ht="5.25" customHeight="1" x14ac:dyDescent="0.25">
      <c r="A12" s="88"/>
      <c r="B12" s="88"/>
      <c r="C12" s="88"/>
      <c r="D12" s="88"/>
      <c r="E12" s="13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</row>
    <row r="13" spans="1:20" x14ac:dyDescent="0.25">
      <c r="C13" s="23" t="s">
        <v>136</v>
      </c>
      <c r="D13" s="22"/>
      <c r="E13" s="137"/>
      <c r="F13" s="22"/>
      <c r="G13" s="22"/>
      <c r="H13" s="22"/>
      <c r="I13" s="39"/>
      <c r="J13" s="22"/>
      <c r="K13" s="22"/>
      <c r="L13" s="39" t="s">
        <v>134</v>
      </c>
      <c r="N13" s="218" t="s">
        <v>133</v>
      </c>
      <c r="O13" s="218"/>
      <c r="P13" s="217" t="s">
        <v>22</v>
      </c>
      <c r="Q13" s="217"/>
      <c r="R13" s="217"/>
      <c r="S13" s="217"/>
    </row>
    <row r="14" spans="1:20" x14ac:dyDescent="0.25">
      <c r="C14" s="85"/>
      <c r="D14" s="76"/>
      <c r="E14" s="76" t="s">
        <v>4</v>
      </c>
      <c r="F14" s="36" t="s">
        <v>23</v>
      </c>
      <c r="G14" s="36" t="s">
        <v>24</v>
      </c>
      <c r="H14" s="36" t="s">
        <v>25</v>
      </c>
      <c r="I14" s="36" t="s">
        <v>5</v>
      </c>
      <c r="J14" s="36" t="s">
        <v>6</v>
      </c>
      <c r="K14" s="36" t="s">
        <v>7</v>
      </c>
      <c r="L14" s="36" t="s">
        <v>127</v>
      </c>
      <c r="M14" s="36" t="s">
        <v>139</v>
      </c>
      <c r="N14" s="40" t="s">
        <v>16</v>
      </c>
      <c r="O14" s="40" t="s">
        <v>26</v>
      </c>
      <c r="P14" s="40" t="s">
        <v>21</v>
      </c>
      <c r="Q14" s="40" t="s">
        <v>146</v>
      </c>
      <c r="R14" s="40" t="s">
        <v>138</v>
      </c>
      <c r="S14" s="40" t="s">
        <v>110</v>
      </c>
      <c r="T14" s="170" t="s">
        <v>205</v>
      </c>
    </row>
    <row r="15" spans="1:20" x14ac:dyDescent="0.25">
      <c r="C15" s="79"/>
      <c r="D15" s="79"/>
      <c r="E15" s="139" t="s">
        <v>28</v>
      </c>
      <c r="F15" s="79">
        <f>F6</f>
        <v>0.3</v>
      </c>
      <c r="G15" s="79">
        <f t="shared" ref="G15:G17" si="4">G6</f>
        <v>18</v>
      </c>
      <c r="H15" s="79">
        <f>F15*G15</f>
        <v>5.3999999999999995</v>
      </c>
      <c r="I15" s="80">
        <f>C6*H15</f>
        <v>12.959999999999999</v>
      </c>
      <c r="J15" s="80">
        <f>(C$7/H15)</f>
        <v>13.888888888888891</v>
      </c>
      <c r="K15" s="80">
        <f>1/J15</f>
        <v>7.1999999999999995E-2</v>
      </c>
      <c r="L15" s="81">
        <f>I15*J15*K$18</f>
        <v>30.959869095669251</v>
      </c>
      <c r="M15" s="81">
        <f>MIN(L15:L17)</f>
        <v>10.002121410909089</v>
      </c>
      <c r="N15" s="80">
        <f>M15/(2*J15)</f>
        <v>0.36007637079272714</v>
      </c>
      <c r="O15" s="80">
        <f>N$18</f>
        <v>0.86017880433537774</v>
      </c>
      <c r="P15" s="81">
        <f>I15*O15</f>
        <v>11.147917304186494</v>
      </c>
      <c r="Q15" s="81">
        <f>J15*(N15^2)</f>
        <v>1.8007637889341879</v>
      </c>
      <c r="R15" s="81">
        <v>0</v>
      </c>
      <c r="S15" s="81">
        <f>P15-Q15</f>
        <v>9.3471535152523071</v>
      </c>
      <c r="T15" s="174">
        <f>N15/H15</f>
        <v>6.6680809406060582E-2</v>
      </c>
    </row>
    <row r="16" spans="1:20" x14ac:dyDescent="0.25">
      <c r="C16" s="27"/>
      <c r="D16" s="27"/>
      <c r="E16" s="36" t="s">
        <v>30</v>
      </c>
      <c r="F16" s="27">
        <f t="shared" ref="F16" si="5">F7</f>
        <v>1.2</v>
      </c>
      <c r="G16" s="27">
        <f t="shared" si="4"/>
        <v>5</v>
      </c>
      <c r="H16" s="27">
        <f>F16*G16</f>
        <v>6</v>
      </c>
      <c r="I16" s="28">
        <f>C$6*H16</f>
        <v>14.399999999999999</v>
      </c>
      <c r="J16" s="28">
        <f>(C$7/H16)</f>
        <v>12.5</v>
      </c>
      <c r="K16" s="28">
        <f>1/J16</f>
        <v>0.08</v>
      </c>
      <c r="L16" s="29">
        <f>I16*J16*K$18</f>
        <v>30.959869095669241</v>
      </c>
      <c r="M16" s="29">
        <f>M15</f>
        <v>10.002121410909089</v>
      </c>
      <c r="N16" s="28">
        <f t="shared" ref="N16:N17" si="6">M16/(2*J16)</f>
        <v>0.40008485643636355</v>
      </c>
      <c r="O16" s="28">
        <f>N$18</f>
        <v>0.86017880433537774</v>
      </c>
      <c r="P16" s="29">
        <f>I16*O16</f>
        <v>12.386574782429438</v>
      </c>
      <c r="Q16" s="29">
        <f>J16*(N16^2)</f>
        <v>2.0008486543713202</v>
      </c>
      <c r="R16" s="29">
        <v>0</v>
      </c>
      <c r="S16" s="29">
        <f t="shared" ref="S16:S17" si="7">P16-Q16</f>
        <v>10.385726128058117</v>
      </c>
      <c r="T16" s="174">
        <f t="shared" ref="T16:T17" si="8">N16/H16</f>
        <v>6.6680809406060595E-2</v>
      </c>
    </row>
    <row r="17" spans="1:23" x14ac:dyDescent="0.25">
      <c r="C17" s="71">
        <v>0</v>
      </c>
      <c r="D17" s="31" t="s">
        <v>31</v>
      </c>
      <c r="E17" s="24" t="s">
        <v>32</v>
      </c>
      <c r="F17" s="33">
        <f t="shared" ref="F17" si="9">F8</f>
        <v>1</v>
      </c>
      <c r="G17" s="33">
        <f t="shared" si="4"/>
        <v>1.1000000000000001</v>
      </c>
      <c r="H17" s="33">
        <f>F17*G17</f>
        <v>1.1000000000000001</v>
      </c>
      <c r="I17" s="148">
        <v>1.163</v>
      </c>
      <c r="J17" s="148">
        <v>50.001818181818173</v>
      </c>
      <c r="K17" s="34">
        <f>1/J17</f>
        <v>1.9999272753718052E-2</v>
      </c>
      <c r="L17" s="35">
        <f>I17*J17*K$18</f>
        <v>10.002121410909089</v>
      </c>
      <c r="M17" s="35">
        <f>M15</f>
        <v>10.002121410909089</v>
      </c>
      <c r="N17" s="34">
        <f t="shared" si="6"/>
        <v>0.10001757710628705</v>
      </c>
      <c r="O17" s="34">
        <f>N$18</f>
        <v>0.86017880433537774</v>
      </c>
      <c r="P17" s="35">
        <f>I17*O17</f>
        <v>1.0003879494420445</v>
      </c>
      <c r="Q17" s="35">
        <f>J17*(N17^2)</f>
        <v>0.50019397472102223</v>
      </c>
      <c r="R17" s="35">
        <v>0</v>
      </c>
      <c r="S17" s="35">
        <f t="shared" si="7"/>
        <v>0.50019397472102223</v>
      </c>
      <c r="T17" s="175">
        <f t="shared" si="8"/>
        <v>9.092507009662458E-2</v>
      </c>
    </row>
    <row r="18" spans="1:23" x14ac:dyDescent="0.25">
      <c r="C18" s="22"/>
      <c r="D18" s="23"/>
      <c r="E18" s="137"/>
      <c r="F18" s="28">
        <f>SUM(F15:F17)</f>
        <v>2.5</v>
      </c>
      <c r="G18" s="28">
        <f>H18/F18</f>
        <v>4.9999999999999991</v>
      </c>
      <c r="H18" s="28">
        <f>SUM(H15:H17)</f>
        <v>12.499999999999998</v>
      </c>
      <c r="I18" s="29">
        <f>SUM(I15:I17)</f>
        <v>28.523</v>
      </c>
      <c r="J18" s="20"/>
      <c r="K18" s="28">
        <f>SUM(K15:K17)</f>
        <v>0.17199927275371804</v>
      </c>
      <c r="L18" s="72" t="s">
        <v>128</v>
      </c>
      <c r="N18" s="45">
        <f>SUM(N15:N17)</f>
        <v>0.86017880433537774</v>
      </c>
      <c r="O18" s="20"/>
      <c r="P18" s="20"/>
      <c r="Q18" s="102">
        <f>SUM(Q15:Q17)</f>
        <v>4.3018064180265307</v>
      </c>
      <c r="R18" s="20"/>
      <c r="S18" s="22"/>
      <c r="T18" s="86">
        <f>N18/H18</f>
        <v>6.8814304346830224E-2</v>
      </c>
    </row>
    <row r="19" spans="1:23" x14ac:dyDescent="0.25">
      <c r="E19" s="26"/>
      <c r="F19" s="36" t="s">
        <v>34</v>
      </c>
      <c r="G19" s="36" t="s">
        <v>35</v>
      </c>
      <c r="H19" s="36" t="s">
        <v>36</v>
      </c>
      <c r="I19" s="74" t="s">
        <v>130</v>
      </c>
      <c r="J19" s="36"/>
      <c r="K19" s="36" t="s">
        <v>37</v>
      </c>
      <c r="L19" s="73" t="s">
        <v>129</v>
      </c>
      <c r="O19" s="83"/>
      <c r="P19" s="21"/>
      <c r="Q19" s="37"/>
      <c r="R19" s="37"/>
      <c r="S19" s="21"/>
    </row>
    <row r="20" spans="1:23" ht="5.25" customHeight="1" x14ac:dyDescent="0.25">
      <c r="A20" s="88"/>
      <c r="B20" s="88"/>
      <c r="C20" s="88"/>
      <c r="D20" s="88"/>
      <c r="E20" s="13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1:23" x14ac:dyDescent="0.25">
      <c r="C21" s="23" t="s">
        <v>198</v>
      </c>
      <c r="D21" s="22"/>
      <c r="E21" s="137"/>
      <c r="F21" s="22"/>
      <c r="G21" s="22"/>
      <c r="H21" s="22"/>
      <c r="I21" s="39"/>
      <c r="J21" s="22"/>
      <c r="K21" s="22"/>
      <c r="L21" s="39" t="s">
        <v>134</v>
      </c>
      <c r="M21" s="39"/>
      <c r="N21" s="218" t="s">
        <v>133</v>
      </c>
      <c r="O21" s="218"/>
      <c r="P21" s="217" t="s">
        <v>22</v>
      </c>
      <c r="Q21" s="217"/>
      <c r="R21" s="217"/>
      <c r="S21" s="217"/>
      <c r="T21" s="216" t="s">
        <v>148</v>
      </c>
      <c r="U21" s="216"/>
    </row>
    <row r="22" spans="1:23" x14ac:dyDescent="0.25">
      <c r="B22" s="87" t="s">
        <v>140</v>
      </c>
      <c r="C22" s="85"/>
      <c r="D22" s="76"/>
      <c r="E22" s="76" t="s">
        <v>4</v>
      </c>
      <c r="F22" s="36" t="s">
        <v>23</v>
      </c>
      <c r="G22" s="36" t="s">
        <v>24</v>
      </c>
      <c r="H22" s="36" t="s">
        <v>25</v>
      </c>
      <c r="I22" s="36" t="s">
        <v>5</v>
      </c>
      <c r="J22" s="36" t="s">
        <v>6</v>
      </c>
      <c r="K22" s="36" t="s">
        <v>7</v>
      </c>
      <c r="L22" s="36" t="s">
        <v>127</v>
      </c>
      <c r="M22" s="36" t="s">
        <v>139</v>
      </c>
      <c r="N22" s="40" t="s">
        <v>16</v>
      </c>
      <c r="O22" s="40" t="s">
        <v>26</v>
      </c>
      <c r="P22" s="40" t="s">
        <v>21</v>
      </c>
      <c r="Q22" s="40" t="s">
        <v>146</v>
      </c>
      <c r="R22" s="40" t="s">
        <v>138</v>
      </c>
      <c r="S22" s="40" t="s">
        <v>110</v>
      </c>
      <c r="T22" s="40" t="s">
        <v>150</v>
      </c>
      <c r="U22" s="170" t="s">
        <v>149</v>
      </c>
      <c r="V22" s="170" t="s">
        <v>202</v>
      </c>
      <c r="W22" s="170" t="s">
        <v>205</v>
      </c>
    </row>
    <row r="23" spans="1:23" x14ac:dyDescent="0.25">
      <c r="B23" s="38">
        <f>(G$26-G23)*F23</f>
        <v>-3.9</v>
      </c>
      <c r="C23" s="79"/>
      <c r="D23" s="79"/>
      <c r="E23" s="139" t="s">
        <v>28</v>
      </c>
      <c r="F23" s="79">
        <f>F6</f>
        <v>0.3</v>
      </c>
      <c r="G23" s="79">
        <f t="shared" ref="G23:G24" si="10">G6</f>
        <v>18</v>
      </c>
      <c r="H23" s="79">
        <f>F23*G23</f>
        <v>5.3999999999999995</v>
      </c>
      <c r="I23" s="80">
        <f>C$6*H23</f>
        <v>12.959999999999999</v>
      </c>
      <c r="J23" s="80">
        <f>(C$7/H23)</f>
        <v>13.888888888888891</v>
      </c>
      <c r="K23" s="80">
        <f>1/J23</f>
        <v>7.1999999999999995E-2</v>
      </c>
      <c r="L23" s="119">
        <f>I23*J23*K$26+2*J23*C25*(G$26-G23)*F23</f>
        <v>26.403966644427513</v>
      </c>
      <c r="M23" s="81">
        <f>MIN(L23:L25)</f>
        <v>26.403966644427513</v>
      </c>
      <c r="N23" s="80">
        <f>M23/(2*J23)</f>
        <v>0.95054279919939033</v>
      </c>
      <c r="O23" s="80">
        <f>N$26</f>
        <v>2.2707315303274802</v>
      </c>
      <c r="P23" s="81">
        <f>I23*O23</f>
        <v>29.428680633044142</v>
      </c>
      <c r="Q23" s="81">
        <f>J23*(N23^2)</f>
        <v>12.54905018208073</v>
      </c>
      <c r="R23" s="81">
        <f>G*(G$26-G23)*F23*M23</f>
        <v>-4.3305802688826889</v>
      </c>
      <c r="S23" s="81">
        <f>P23-Q23+R23</f>
        <v>12.549050182080723</v>
      </c>
      <c r="T23" s="106">
        <f>100*(Q23/F23)/365</f>
        <v>11.460319800986969</v>
      </c>
      <c r="U23" s="104">
        <f>100*(R23/F23)/365</f>
        <v>-3.9548678254636429</v>
      </c>
      <c r="V23" s="176">
        <f>Q23-R23</f>
        <v>16.879630450963418</v>
      </c>
      <c r="W23" s="174">
        <f>N23/H23</f>
        <v>0.17602644429618342</v>
      </c>
    </row>
    <row r="24" spans="1:23" x14ac:dyDescent="0.25">
      <c r="B24" s="38">
        <f t="shared" ref="B24:B25" si="11">(G$26-G24)*F24</f>
        <v>-1.0658141036401502E-15</v>
      </c>
      <c r="C24" s="27"/>
      <c r="D24" s="27"/>
      <c r="E24" s="36" t="s">
        <v>30</v>
      </c>
      <c r="F24" s="27">
        <f t="shared" ref="F24" si="12">F7</f>
        <v>1.2</v>
      </c>
      <c r="G24" s="27">
        <f t="shared" si="10"/>
        <v>5</v>
      </c>
      <c r="H24" s="27">
        <f>F24*G24</f>
        <v>6</v>
      </c>
      <c r="I24" s="28">
        <f>C$6*H24</f>
        <v>14.399999999999999</v>
      </c>
      <c r="J24" s="28">
        <f>(C$7/H24)</f>
        <v>12.5</v>
      </c>
      <c r="K24" s="28">
        <f>1/J24</f>
        <v>0.08</v>
      </c>
      <c r="L24" s="29">
        <f>I24*J24*K$26+2*J24*C25*(G$26-G24)*F24</f>
        <v>30.959869095669241</v>
      </c>
      <c r="M24" s="29">
        <f>M23</f>
        <v>26.403966644427513</v>
      </c>
      <c r="N24" s="28">
        <f t="shared" ref="N24:N25" si="13">M24/(2*J24)</f>
        <v>1.0561586657771005</v>
      </c>
      <c r="O24" s="28">
        <f t="shared" ref="O24:O25" si="14">N$26</f>
        <v>2.2707315303274802</v>
      </c>
      <c r="P24" s="29">
        <f>I24*O24</f>
        <v>32.698534036715714</v>
      </c>
      <c r="Q24" s="29">
        <f>J24*(N24^2)</f>
        <v>13.943389091200814</v>
      </c>
      <c r="R24" s="29">
        <f>G*(G$26-G24)*F24*M24</f>
        <v>-1.18348551987716E-15</v>
      </c>
      <c r="S24" s="29">
        <f t="shared" ref="S24:S25" si="15">P24-Q24+R24</f>
        <v>18.7551449455149</v>
      </c>
      <c r="T24" s="104">
        <f t="shared" ref="T24:T25" si="16">100*(Q24/F24)/365</f>
        <v>3.1834221669408249</v>
      </c>
      <c r="U24" s="104">
        <f t="shared" ref="U24:U25" si="17">100*(R24/F24)/365</f>
        <v>-2.702021734879361E-16</v>
      </c>
      <c r="V24" s="176">
        <f t="shared" ref="V24:V25" si="18">Q24-R24</f>
        <v>13.943389091200816</v>
      </c>
      <c r="W24" s="174">
        <f t="shared" ref="W24:W25" si="19">N24/H24</f>
        <v>0.17602644429618342</v>
      </c>
    </row>
    <row r="25" spans="1:23" x14ac:dyDescent="0.25">
      <c r="B25" s="38">
        <f t="shared" si="11"/>
        <v>3.899999999999999</v>
      </c>
      <c r="C25" s="120">
        <f>((I25*J25-I23*J23)*K26)/(2*(J23*B23-J25*B25))</f>
        <v>4.2054484165308374E-2</v>
      </c>
      <c r="D25" s="31" t="s">
        <v>31</v>
      </c>
      <c r="E25" s="24" t="s">
        <v>32</v>
      </c>
      <c r="F25" s="33">
        <f t="shared" ref="F25" si="20">F8</f>
        <v>1</v>
      </c>
      <c r="G25" s="33">
        <f>G8</f>
        <v>1.1000000000000001</v>
      </c>
      <c r="H25" s="33">
        <f>F25*G25</f>
        <v>1.1000000000000001</v>
      </c>
      <c r="I25" s="34">
        <v>1.163</v>
      </c>
      <c r="J25" s="34">
        <v>50.001818181818173</v>
      </c>
      <c r="K25" s="34">
        <f>1/J25</f>
        <v>1.9999272753718052E-2</v>
      </c>
      <c r="L25" s="121">
        <f>I25*J25*K$26+2*J25*C25*(G$26-G25)*F25</f>
        <v>26.403966644427513</v>
      </c>
      <c r="M25" s="35">
        <f>M23</f>
        <v>26.403966644427513</v>
      </c>
      <c r="N25" s="34">
        <f t="shared" si="13"/>
        <v>0.26403006535098966</v>
      </c>
      <c r="O25" s="34">
        <f t="shared" si="14"/>
        <v>2.2707315303274802</v>
      </c>
      <c r="P25" s="35">
        <f>I25*O25</f>
        <v>2.6408607697708595</v>
      </c>
      <c r="Q25" s="35">
        <f>J25*(N25^2)</f>
        <v>3.4857205193267737</v>
      </c>
      <c r="R25" s="35">
        <f>G*(G$26-G25)*F25*M25</f>
        <v>4.330580268882688</v>
      </c>
      <c r="S25" s="35">
        <f t="shared" si="15"/>
        <v>3.4857205193267737</v>
      </c>
      <c r="T25" s="105">
        <f t="shared" si="16"/>
        <v>0.95499192310322567</v>
      </c>
      <c r="U25" s="105">
        <f t="shared" si="17"/>
        <v>1.1864603476390925</v>
      </c>
      <c r="V25" s="171">
        <f t="shared" si="18"/>
        <v>-0.84485974955591425</v>
      </c>
      <c r="W25" s="175">
        <f t="shared" si="19"/>
        <v>0.24002733213726332</v>
      </c>
    </row>
    <row r="26" spans="1:23" x14ac:dyDescent="0.25">
      <c r="C26" s="90">
        <f>G*'Table4 Check'!L8</f>
        <v>1.1104051971494073</v>
      </c>
      <c r="D26" s="23" t="s">
        <v>33</v>
      </c>
      <c r="E26" s="137"/>
      <c r="F26" s="28">
        <f>SUM(F23:F25)</f>
        <v>2.5</v>
      </c>
      <c r="G26" s="28">
        <f>H26/F26</f>
        <v>4.9999999999999991</v>
      </c>
      <c r="H26" s="28">
        <f>SUM(H23:H25)</f>
        <v>12.499999999999998</v>
      </c>
      <c r="I26" s="29">
        <f>SUM(I23:I25)</f>
        <v>28.523</v>
      </c>
      <c r="J26" s="20"/>
      <c r="K26" s="28">
        <f>SUM(K23:K25)</f>
        <v>0.17199927275371804</v>
      </c>
      <c r="L26" s="72" t="s">
        <v>137</v>
      </c>
      <c r="M26" t="s">
        <v>40</v>
      </c>
      <c r="N26" s="45">
        <f>SUM(N23:N25)</f>
        <v>2.2707315303274802</v>
      </c>
      <c r="O26" s="20"/>
      <c r="P26" s="20"/>
      <c r="Q26" s="103">
        <f>SUM(Q23:Q25)</f>
        <v>29.978159792608317</v>
      </c>
      <c r="R26" s="22"/>
      <c r="W26" s="86">
        <f>N26/H26</f>
        <v>0.18165852242619845</v>
      </c>
    </row>
    <row r="27" spans="1:23" x14ac:dyDescent="0.25">
      <c r="E27" s="26"/>
      <c r="F27" s="36" t="s">
        <v>34</v>
      </c>
      <c r="G27" s="36" t="s">
        <v>35</v>
      </c>
      <c r="H27" s="36" t="s">
        <v>36</v>
      </c>
      <c r="I27" s="74" t="s">
        <v>130</v>
      </c>
      <c r="J27" s="36"/>
      <c r="K27" s="36" t="s">
        <v>37</v>
      </c>
      <c r="L27" s="73" t="s">
        <v>129</v>
      </c>
      <c r="M27" s="73"/>
      <c r="O27" s="83"/>
      <c r="P27" s="21"/>
      <c r="Q27" s="37"/>
      <c r="R27" s="37"/>
      <c r="S27" s="21"/>
    </row>
    <row r="28" spans="1:23" ht="5.25" customHeight="1" x14ac:dyDescent="0.2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1:23" ht="15.75" x14ac:dyDescent="0.25">
      <c r="K29" s="152" t="s">
        <v>141</v>
      </c>
      <c r="L29" s="91"/>
      <c r="M29" s="91"/>
      <c r="N29" s="91"/>
      <c r="O29" s="91"/>
      <c r="P29" s="91"/>
      <c r="Q29" s="91"/>
      <c r="R29" s="91"/>
      <c r="S29" s="110"/>
    </row>
    <row r="30" spans="1:23" x14ac:dyDescent="0.25">
      <c r="G30" t="s">
        <v>199</v>
      </c>
      <c r="K30" s="111"/>
      <c r="L30" s="17"/>
      <c r="M30" s="17"/>
      <c r="N30" s="214" t="s">
        <v>143</v>
      </c>
      <c r="O30" s="215"/>
      <c r="P30" s="211" t="s">
        <v>142</v>
      </c>
      <c r="Q30" s="212"/>
      <c r="R30" s="212"/>
      <c r="S30" s="213"/>
    </row>
    <row r="31" spans="1:23" x14ac:dyDescent="0.25">
      <c r="G31" t="s">
        <v>200</v>
      </c>
      <c r="K31" s="111" t="s">
        <v>4</v>
      </c>
      <c r="L31" s="9" t="s">
        <v>144</v>
      </c>
      <c r="M31" s="9" t="s">
        <v>24</v>
      </c>
      <c r="N31" s="8" t="s">
        <v>139</v>
      </c>
      <c r="O31" s="10" t="s">
        <v>16</v>
      </c>
      <c r="P31" s="8" t="s">
        <v>139</v>
      </c>
      <c r="Q31" s="9" t="s">
        <v>16</v>
      </c>
      <c r="R31" s="9" t="s">
        <v>146</v>
      </c>
      <c r="S31" s="10" t="s">
        <v>145</v>
      </c>
    </row>
    <row r="32" spans="1:23" x14ac:dyDescent="0.25">
      <c r="G32" t="s">
        <v>201</v>
      </c>
      <c r="K32" s="112" t="str">
        <f>'Table4 Check'!D8</f>
        <v>US</v>
      </c>
      <c r="L32" s="92">
        <f t="shared" ref="L32:M35" si="21">F23</f>
        <v>0.3</v>
      </c>
      <c r="M32" s="92">
        <f t="shared" si="21"/>
        <v>18</v>
      </c>
      <c r="N32" s="99">
        <f>L15</f>
        <v>30.959869095669251</v>
      </c>
      <c r="O32" s="96">
        <f>N15</f>
        <v>0.36007637079272714</v>
      </c>
      <c r="P32" s="99">
        <f>'Table4 Check'!K8</f>
        <v>26.403966644427513</v>
      </c>
      <c r="Q32" s="93">
        <f>'Table4 Check'!M8</f>
        <v>0.95054279919939033</v>
      </c>
      <c r="R32" s="107">
        <f t="shared" ref="R32:S34" si="22">T23</f>
        <v>11.460319800986969</v>
      </c>
      <c r="S32" s="107">
        <f t="shared" si="22"/>
        <v>-3.9548678254636429</v>
      </c>
    </row>
    <row r="33" spans="11:19" x14ac:dyDescent="0.25">
      <c r="K33" s="111" t="str">
        <f>'Table4 Check'!D9</f>
        <v>China</v>
      </c>
      <c r="L33" s="9">
        <f t="shared" si="21"/>
        <v>1.2</v>
      </c>
      <c r="M33" s="13">
        <f t="shared" si="21"/>
        <v>5</v>
      </c>
      <c r="N33" s="100">
        <f t="shared" ref="N33:N34" si="23">L16</f>
        <v>30.959869095669241</v>
      </c>
      <c r="O33" s="97">
        <f t="shared" ref="O33:O34" si="24">N16</f>
        <v>0.40008485643636355</v>
      </c>
      <c r="P33" s="100">
        <f>'Table4 Check'!K9</f>
        <v>30.959869095669241</v>
      </c>
      <c r="Q33" s="94">
        <f>'Table4 Check'!M9</f>
        <v>1.0561586657771005</v>
      </c>
      <c r="R33" s="108">
        <f>T24</f>
        <v>3.1834221669408249</v>
      </c>
      <c r="S33" s="108">
        <f t="shared" si="22"/>
        <v>-2.702021734879361E-16</v>
      </c>
    </row>
    <row r="34" spans="11:19" x14ac:dyDescent="0.25">
      <c r="K34" s="113" t="str">
        <f>'Table4 Check'!D10</f>
        <v>India</v>
      </c>
      <c r="L34" s="3">
        <f t="shared" si="21"/>
        <v>1</v>
      </c>
      <c r="M34" s="3">
        <f t="shared" si="21"/>
        <v>1.1000000000000001</v>
      </c>
      <c r="N34" s="101">
        <f t="shared" si="23"/>
        <v>10.002121410909089</v>
      </c>
      <c r="O34" s="98">
        <f t="shared" si="24"/>
        <v>0.10001757710628705</v>
      </c>
      <c r="P34" s="101">
        <f>'Table4 Check'!K10</f>
        <v>26.403966644427513</v>
      </c>
      <c r="Q34" s="95">
        <f>'Table4 Check'!M10</f>
        <v>0.26403006535098966</v>
      </c>
      <c r="R34" s="109">
        <f t="shared" si="22"/>
        <v>0.95499192310322567</v>
      </c>
      <c r="S34" s="109">
        <f t="shared" si="22"/>
        <v>1.1864603476390925</v>
      </c>
    </row>
    <row r="35" spans="11:19" x14ac:dyDescent="0.25">
      <c r="K35" s="113" t="s">
        <v>147</v>
      </c>
      <c r="L35" s="105">
        <f t="shared" si="21"/>
        <v>2.5</v>
      </c>
      <c r="M35" s="105">
        <f t="shared" si="21"/>
        <v>4.9999999999999991</v>
      </c>
      <c r="N35" s="101">
        <f>M15</f>
        <v>10.002121410909089</v>
      </c>
      <c r="O35" s="114">
        <f>T18</f>
        <v>6.8814304346830224E-2</v>
      </c>
      <c r="P35" s="101">
        <f>'Table4 Check'!L8</f>
        <v>26.403966644427513</v>
      </c>
      <c r="Q35" s="115">
        <f>'Table4 Check'!M12</f>
        <v>0.18165852242619845</v>
      </c>
      <c r="R35" s="116">
        <f>'Table4 Check'!P11</f>
        <v>29.978159792608317</v>
      </c>
      <c r="S35" s="169">
        <f>'Table4 Check'!Q10</f>
        <v>4.330580268882688</v>
      </c>
    </row>
  </sheetData>
  <mergeCells count="8">
    <mergeCell ref="P30:S30"/>
    <mergeCell ref="N30:O30"/>
    <mergeCell ref="T21:U21"/>
    <mergeCell ref="P4:S4"/>
    <mergeCell ref="N21:O21"/>
    <mergeCell ref="P13:S13"/>
    <mergeCell ref="N13:O13"/>
    <mergeCell ref="P21:S2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1"/>
  <sheetViews>
    <sheetView workbookViewId="0">
      <selection activeCell="E31" sqref="E31"/>
    </sheetView>
  </sheetViews>
  <sheetFormatPr defaultRowHeight="15" x14ac:dyDescent="0.25"/>
  <cols>
    <col min="1" max="1" width="7.7109375" customWidth="1"/>
    <col min="9" max="9" width="10.28515625" customWidth="1"/>
  </cols>
  <sheetData>
    <row r="1" spans="1:24" s="41" customFormat="1" ht="30.75" customHeight="1" x14ac:dyDescent="0.3">
      <c r="B1" s="42" t="s">
        <v>151</v>
      </c>
    </row>
    <row r="2" spans="1:24" s="41" customFormat="1" x14ac:dyDescent="0.25">
      <c r="B2" s="41" t="s">
        <v>152</v>
      </c>
    </row>
    <row r="3" spans="1:24" s="41" customFormat="1" x14ac:dyDescent="0.25">
      <c r="B3" s="41" t="s">
        <v>153</v>
      </c>
    </row>
    <row r="4" spans="1:24" s="41" customFormat="1" x14ac:dyDescent="0.25"/>
    <row r="5" spans="1:24" s="88" customFormat="1" ht="4.5" customHeight="1" x14ac:dyDescent="0.25"/>
    <row r="6" spans="1:24" x14ac:dyDescent="0.25">
      <c r="A6" s="41"/>
      <c r="K6" s="39" t="s">
        <v>134</v>
      </c>
      <c r="L6" s="39"/>
      <c r="M6" s="218" t="s">
        <v>133</v>
      </c>
      <c r="N6" s="218"/>
      <c r="O6" s="217" t="s">
        <v>22</v>
      </c>
      <c r="P6" s="217"/>
      <c r="Q6" s="217"/>
      <c r="R6" s="217"/>
      <c r="S6" s="41"/>
      <c r="T6" s="41"/>
      <c r="U6" s="41"/>
      <c r="V6" s="41"/>
      <c r="W6" s="41"/>
      <c r="X6" s="41"/>
    </row>
    <row r="7" spans="1:24" x14ac:dyDescent="0.25">
      <c r="A7" s="41"/>
      <c r="B7" s="85" t="s">
        <v>2</v>
      </c>
      <c r="C7" s="76"/>
      <c r="D7" s="76" t="s">
        <v>4</v>
      </c>
      <c r="E7" s="36" t="s">
        <v>23</v>
      </c>
      <c r="F7" s="36" t="s">
        <v>24</v>
      </c>
      <c r="G7" s="36" t="s">
        <v>25</v>
      </c>
      <c r="H7" s="36" t="s">
        <v>5</v>
      </c>
      <c r="I7" s="36" t="s">
        <v>6</v>
      </c>
      <c r="J7" s="36" t="s">
        <v>7</v>
      </c>
      <c r="K7" s="36" t="s">
        <v>127</v>
      </c>
      <c r="L7" s="36" t="s">
        <v>139</v>
      </c>
      <c r="M7" s="40" t="s">
        <v>16</v>
      </c>
      <c r="N7" s="40" t="s">
        <v>26</v>
      </c>
      <c r="O7" s="40" t="s">
        <v>21</v>
      </c>
      <c r="P7" s="40" t="s">
        <v>146</v>
      </c>
      <c r="Q7" s="40" t="s">
        <v>138</v>
      </c>
      <c r="R7" s="40" t="s">
        <v>110</v>
      </c>
      <c r="S7" s="41"/>
      <c r="T7" s="41"/>
      <c r="U7" s="41"/>
      <c r="V7" s="41"/>
      <c r="W7" s="41"/>
      <c r="X7" s="41"/>
    </row>
    <row r="8" spans="1:24" x14ac:dyDescent="0.25">
      <c r="A8" s="41"/>
      <c r="B8" s="79">
        <v>2.4</v>
      </c>
      <c r="C8" s="78" t="s">
        <v>27</v>
      </c>
      <c r="D8" s="139" t="s">
        <v>28</v>
      </c>
      <c r="E8" s="79">
        <f>'GF Table 4'!F6</f>
        <v>0.3</v>
      </c>
      <c r="F8" s="79">
        <f>'GF Table 4'!G6</f>
        <v>18</v>
      </c>
      <c r="G8" s="79">
        <f>E8*F8</f>
        <v>5.3999999999999995</v>
      </c>
      <c r="H8" s="80">
        <f>B$8*G8</f>
        <v>12.959999999999999</v>
      </c>
      <c r="I8" s="80">
        <f>(B$9/G8)</f>
        <v>13.888888888888891</v>
      </c>
      <c r="J8" s="80">
        <f>1/I8</f>
        <v>7.1999999999999995E-2</v>
      </c>
      <c r="K8" s="81">
        <f>H8*I8*J$11+2*I8*C$17*(F$11-F8)*E8</f>
        <v>26.403966644427513</v>
      </c>
      <c r="L8" s="81">
        <f>F$19</f>
        <v>26.403966644427513</v>
      </c>
      <c r="M8" s="80">
        <f>L8/(2*I8)</f>
        <v>0.95054279919939033</v>
      </c>
      <c r="N8" s="80">
        <f>M$11</f>
        <v>2.2707315303274802</v>
      </c>
      <c r="O8" s="81">
        <f>H8*N8</f>
        <v>29.428680633044142</v>
      </c>
      <c r="P8" s="81">
        <f>I8*(M8^2)</f>
        <v>12.54905018208073</v>
      </c>
      <c r="Q8" s="81">
        <f>C$17*(F$11-F8)*E8*L8</f>
        <v>-4.3305802688826889</v>
      </c>
      <c r="R8" s="81">
        <f>O8-P8+Q8</f>
        <v>12.549050182080723</v>
      </c>
      <c r="S8" s="41"/>
      <c r="T8" s="41"/>
      <c r="U8" s="41"/>
      <c r="V8" s="41"/>
      <c r="W8" s="41"/>
      <c r="X8" s="41"/>
    </row>
    <row r="9" spans="1:24" x14ac:dyDescent="0.25">
      <c r="A9" s="41"/>
      <c r="B9" s="27">
        <v>75</v>
      </c>
      <c r="C9" s="26" t="s">
        <v>29</v>
      </c>
      <c r="D9" s="36" t="s">
        <v>30</v>
      </c>
      <c r="E9" s="27">
        <f>'GF Table 4'!F7</f>
        <v>1.2</v>
      </c>
      <c r="F9" s="27">
        <f>'GF Table 4'!G7</f>
        <v>5</v>
      </c>
      <c r="G9" s="27">
        <f>E9*F9</f>
        <v>6</v>
      </c>
      <c r="H9" s="28">
        <f>B$8*G9</f>
        <v>14.399999999999999</v>
      </c>
      <c r="I9" s="28">
        <f>(B$9/G9)</f>
        <v>12.5</v>
      </c>
      <c r="J9" s="28">
        <f>1/I9</f>
        <v>0.08</v>
      </c>
      <c r="K9" s="29">
        <f t="shared" ref="K9:K10" si="0">H9*I9*J$11+2*I9*C$17*(F$11-F9)*E9</f>
        <v>30.959869095669241</v>
      </c>
      <c r="L9" s="29">
        <f>L8</f>
        <v>26.403966644427513</v>
      </c>
      <c r="M9" s="28">
        <f t="shared" ref="M9:M10" si="1">L9/(2*I9)</f>
        <v>1.0561586657771005</v>
      </c>
      <c r="N9" s="28">
        <f t="shared" ref="N9:N10" si="2">M$11</f>
        <v>2.2707315303274802</v>
      </c>
      <c r="O9" s="29">
        <f>H9*N9</f>
        <v>32.698534036715714</v>
      </c>
      <c r="P9" s="29">
        <f>I9*(M9^2)</f>
        <v>13.943389091200814</v>
      </c>
      <c r="Q9" s="29">
        <f t="shared" ref="Q9:Q10" si="3">C$17*(F$11-F9)*E9*L9</f>
        <v>-1.18348551987716E-15</v>
      </c>
      <c r="R9" s="29">
        <f t="shared" ref="R9:R10" si="4">O9-P9+Q9</f>
        <v>18.7551449455149</v>
      </c>
      <c r="S9" s="41"/>
      <c r="T9" s="41"/>
      <c r="U9" s="41"/>
      <c r="V9" s="41"/>
      <c r="W9" s="41"/>
      <c r="X9" s="41"/>
    </row>
    <row r="10" spans="1:24" x14ac:dyDescent="0.25">
      <c r="A10" s="41"/>
      <c r="B10" s="30">
        <f>'GF Table 4'!C25</f>
        <v>4.2054484165308374E-2</v>
      </c>
      <c r="C10" s="31" t="s">
        <v>31</v>
      </c>
      <c r="D10" s="24" t="s">
        <v>32</v>
      </c>
      <c r="E10" s="33">
        <f>'GF Table 4'!F8</f>
        <v>1</v>
      </c>
      <c r="F10" s="33">
        <f>'GF Table 4'!G8</f>
        <v>1.1000000000000001</v>
      </c>
      <c r="G10" s="33">
        <f>E10*F10</f>
        <v>1.1000000000000001</v>
      </c>
      <c r="H10" s="34">
        <f>'GF Table 4'!I17</f>
        <v>1.163</v>
      </c>
      <c r="I10" s="34">
        <f>'GF Table 4'!J17</f>
        <v>50.001818181818173</v>
      </c>
      <c r="J10" s="34">
        <f>1/I10</f>
        <v>1.9999272753718052E-2</v>
      </c>
      <c r="K10" s="35">
        <f t="shared" si="0"/>
        <v>26.403966644427513</v>
      </c>
      <c r="L10" s="35">
        <f>L8</f>
        <v>26.403966644427513</v>
      </c>
      <c r="M10" s="34">
        <f t="shared" si="1"/>
        <v>0.26403006535098966</v>
      </c>
      <c r="N10" s="34">
        <f t="shared" si="2"/>
        <v>2.2707315303274802</v>
      </c>
      <c r="O10" s="35">
        <f>H10*N10</f>
        <v>2.6408607697708595</v>
      </c>
      <c r="P10" s="35">
        <f>I10*(M10^2)</f>
        <v>3.4857205193267737</v>
      </c>
      <c r="Q10" s="35">
        <f t="shared" si="3"/>
        <v>4.330580268882688</v>
      </c>
      <c r="R10" s="35">
        <f t="shared" si="4"/>
        <v>3.4857205193267737</v>
      </c>
      <c r="S10" s="41"/>
      <c r="T10" s="41"/>
      <c r="U10" s="41"/>
      <c r="V10" s="41"/>
      <c r="W10" s="41"/>
      <c r="X10" s="41"/>
    </row>
    <row r="11" spans="1:24" x14ac:dyDescent="0.25">
      <c r="A11" s="41"/>
      <c r="D11" s="117"/>
      <c r="E11" s="28">
        <f>SUM(E8:E10)</f>
        <v>2.5</v>
      </c>
      <c r="F11" s="28">
        <f>G11/E11</f>
        <v>4.9999999999999991</v>
      </c>
      <c r="G11" s="28">
        <f>SUM(G8:G10)</f>
        <v>12.499999999999998</v>
      </c>
      <c r="H11" s="29">
        <f>SUM(H8:H10)</f>
        <v>28.523</v>
      </c>
      <c r="J11" s="28">
        <f>SUM(J8:J10)</f>
        <v>0.17199927275371804</v>
      </c>
      <c r="K11" s="72" t="s">
        <v>137</v>
      </c>
      <c r="L11" t="s">
        <v>40</v>
      </c>
      <c r="M11" s="45">
        <f>SUM(M8:M10)</f>
        <v>2.2707315303274802</v>
      </c>
      <c r="N11" s="20"/>
      <c r="O11" s="20"/>
      <c r="P11" s="103">
        <f>SUM(P8:P10)</f>
        <v>29.978159792608317</v>
      </c>
      <c r="Q11" s="22"/>
      <c r="S11" s="41"/>
      <c r="T11" s="41"/>
      <c r="U11" s="41"/>
      <c r="V11" s="41"/>
      <c r="W11" s="41"/>
      <c r="X11" s="41"/>
    </row>
    <row r="12" spans="1:24" x14ac:dyDescent="0.25">
      <c r="A12" s="41"/>
      <c r="B12" s="41"/>
      <c r="C12" s="41"/>
      <c r="D12" s="151"/>
      <c r="E12" s="41"/>
      <c r="F12" s="41"/>
      <c r="G12" s="41"/>
      <c r="H12" s="41"/>
      <c r="I12" s="41"/>
      <c r="J12" s="36" t="s">
        <v>37</v>
      </c>
      <c r="K12" s="73" t="s">
        <v>129</v>
      </c>
      <c r="L12" s="73"/>
      <c r="M12" s="86">
        <f>M11/'GF Table 4'!H26</f>
        <v>0.18165852242619845</v>
      </c>
      <c r="N12" s="83" t="s">
        <v>132</v>
      </c>
      <c r="O12" s="21"/>
      <c r="P12" s="37"/>
      <c r="Q12" s="37"/>
      <c r="R12" s="21"/>
      <c r="S12" s="41"/>
      <c r="T12" s="41"/>
      <c r="U12" s="41"/>
      <c r="V12" s="41"/>
      <c r="W12" s="41"/>
      <c r="X12" s="41"/>
    </row>
    <row r="13" spans="1:24" ht="15.75" x14ac:dyDescent="0.25">
      <c r="A13" s="219" t="s">
        <v>126</v>
      </c>
      <c r="B13" s="219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41"/>
      <c r="U13" s="41"/>
      <c r="V13" s="41"/>
      <c r="W13" s="41"/>
      <c r="X13" s="41"/>
    </row>
    <row r="14" spans="1:24" x14ac:dyDescent="0.25">
      <c r="A14" s="151"/>
      <c r="B14" s="118" t="s">
        <v>154</v>
      </c>
      <c r="C14" s="118" t="s">
        <v>155</v>
      </c>
      <c r="D14" s="117"/>
      <c r="E14" s="118" t="s">
        <v>154</v>
      </c>
      <c r="F14" s="118" t="s">
        <v>155</v>
      </c>
      <c r="G14" s="118" t="s">
        <v>155</v>
      </c>
      <c r="H14" s="118" t="s">
        <v>157</v>
      </c>
      <c r="I14" s="118" t="s">
        <v>154</v>
      </c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41"/>
      <c r="U14" s="41"/>
      <c r="V14" s="41"/>
      <c r="W14" s="41"/>
      <c r="X14" s="41"/>
    </row>
    <row r="15" spans="1:24" x14ac:dyDescent="0.25">
      <c r="A15" s="151"/>
      <c r="B15" s="118" t="s">
        <v>31</v>
      </c>
      <c r="C15" s="118" t="s">
        <v>31</v>
      </c>
      <c r="D15" s="76" t="s">
        <v>4</v>
      </c>
      <c r="E15" s="36" t="s">
        <v>127</v>
      </c>
      <c r="F15" s="36" t="s">
        <v>127</v>
      </c>
      <c r="G15" s="122" t="s">
        <v>110</v>
      </c>
      <c r="H15" s="122" t="s">
        <v>110</v>
      </c>
      <c r="I15" s="122" t="s">
        <v>110</v>
      </c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41"/>
      <c r="U15" s="41"/>
      <c r="V15" s="41"/>
      <c r="W15" s="41"/>
      <c r="X15" s="41"/>
    </row>
    <row r="16" spans="1:24" x14ac:dyDescent="0.25">
      <c r="A16" s="151"/>
      <c r="B16" s="129"/>
      <c r="C16" s="130"/>
      <c r="D16" s="139" t="s">
        <v>28</v>
      </c>
      <c r="E16" s="140">
        <v>0</v>
      </c>
      <c r="F16" s="124">
        <f>K8+E16</f>
        <v>26.403966644427513</v>
      </c>
      <c r="G16" s="126">
        <f>R8</f>
        <v>12.549050182080723</v>
      </c>
      <c r="H16" s="126">
        <v>12.549050182080723</v>
      </c>
      <c r="I16" s="142">
        <f>G16-H16</f>
        <v>0</v>
      </c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41"/>
      <c r="U16" s="41"/>
      <c r="V16" s="41"/>
      <c r="W16" s="41"/>
      <c r="X16" s="41"/>
    </row>
    <row r="17" spans="1:24" x14ac:dyDescent="0.25">
      <c r="A17" s="151"/>
      <c r="B17" s="131">
        <v>0</v>
      </c>
      <c r="C17" s="132">
        <f>B10+0.001*B17</f>
        <v>4.2054484165308374E-2</v>
      </c>
      <c r="D17" s="36" t="s">
        <v>30</v>
      </c>
      <c r="E17" s="141">
        <v>0</v>
      </c>
      <c r="F17" s="123">
        <f t="shared" ref="F17:F18" si="5">K9+E17</f>
        <v>30.959869095669241</v>
      </c>
      <c r="G17" s="127">
        <f t="shared" ref="G17:G18" si="6">R9</f>
        <v>18.7551449455149</v>
      </c>
      <c r="H17" s="127">
        <v>18.7551449455149</v>
      </c>
      <c r="I17" s="143">
        <f t="shared" ref="I17:I18" si="7">G17-H17</f>
        <v>0</v>
      </c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41"/>
      <c r="U17" s="41"/>
      <c r="V17" s="41"/>
      <c r="W17" s="41"/>
      <c r="X17" s="41"/>
    </row>
    <row r="18" spans="1:24" x14ac:dyDescent="0.25">
      <c r="A18" s="151"/>
      <c r="B18" s="133"/>
      <c r="C18" s="133"/>
      <c r="D18" s="24" t="s">
        <v>32</v>
      </c>
      <c r="E18" s="145">
        <v>0</v>
      </c>
      <c r="F18" s="125">
        <f t="shared" si="5"/>
        <v>26.403966644427513</v>
      </c>
      <c r="G18" s="128">
        <f t="shared" si="6"/>
        <v>3.4857205193267737</v>
      </c>
      <c r="H18" s="128">
        <v>3.4857205193267737</v>
      </c>
      <c r="I18" s="144">
        <f t="shared" si="7"/>
        <v>0</v>
      </c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41"/>
      <c r="U18" s="41"/>
      <c r="V18" s="41"/>
      <c r="W18" s="41"/>
      <c r="X18" s="41"/>
    </row>
    <row r="19" spans="1:24" x14ac:dyDescent="0.25">
      <c r="A19" s="151"/>
      <c r="B19" s="134" t="s">
        <v>156</v>
      </c>
      <c r="C19" s="117"/>
      <c r="D19" s="117"/>
      <c r="E19" s="117"/>
      <c r="F19" s="135">
        <f>MIN(F16:F18)</f>
        <v>26.403966644427513</v>
      </c>
      <c r="G19" s="136"/>
      <c r="H19" s="117"/>
      <c r="I19" s="117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41"/>
      <c r="U19" s="41"/>
      <c r="V19" s="41"/>
      <c r="W19" s="41"/>
      <c r="X19" s="41"/>
    </row>
    <row r="20" spans="1:24" s="41" customFormat="1" x14ac:dyDescent="0.25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</row>
    <row r="21" spans="1:24" s="41" customFormat="1" x14ac:dyDescent="0.25">
      <c r="A21" s="151"/>
      <c r="B21" s="44" t="s">
        <v>158</v>
      </c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</row>
    <row r="22" spans="1:24" s="41" customFormat="1" x14ac:dyDescent="0.25">
      <c r="A22" s="151"/>
      <c r="B22" s="41" t="s">
        <v>159</v>
      </c>
      <c r="C22" s="44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</row>
    <row r="23" spans="1:24" s="41" customFormat="1" x14ac:dyDescent="0.25">
      <c r="A23" s="151"/>
      <c r="B23" s="41" t="s">
        <v>160</v>
      </c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</row>
    <row r="24" spans="1:24" s="41" customFormat="1" x14ac:dyDescent="0.25">
      <c r="A24" s="151"/>
      <c r="B24" s="41" t="s">
        <v>161</v>
      </c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</row>
    <row r="25" spans="1:24" s="41" customFormat="1" x14ac:dyDescent="0.25">
      <c r="A25" s="151"/>
      <c r="B25" s="41" t="s">
        <v>162</v>
      </c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</row>
    <row r="26" spans="1:24" s="41" customFormat="1" x14ac:dyDescent="0.25">
      <c r="A26" s="151"/>
      <c r="B26" s="41" t="s">
        <v>163</v>
      </c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</row>
    <row r="27" spans="1:24" s="41" customFormat="1" x14ac:dyDescent="0.25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</row>
    <row r="28" spans="1:24" s="41" customFormat="1" x14ac:dyDescent="0.25">
      <c r="A28" s="151"/>
      <c r="B28" s="44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</row>
    <row r="29" spans="1:24" x14ac:dyDescent="0.25">
      <c r="A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</row>
    <row r="30" spans="1:24" x14ac:dyDescent="0.25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</row>
    <row r="31" spans="1:24" x14ac:dyDescent="0.25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</row>
  </sheetData>
  <mergeCells count="3">
    <mergeCell ref="M6:N6"/>
    <mergeCell ref="O6:R6"/>
    <mergeCell ref="A13:B13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4"/>
  <sheetViews>
    <sheetView topLeftCell="A3" workbookViewId="0">
      <selection activeCell="A33" sqref="A33"/>
    </sheetView>
  </sheetViews>
  <sheetFormatPr defaultRowHeight="15" x14ac:dyDescent="0.25"/>
  <cols>
    <col min="1" max="1" width="2.28515625" style="41" customWidth="1"/>
    <col min="2" max="2" width="7.28515625" customWidth="1"/>
    <col min="14" max="14" width="5.85546875" customWidth="1"/>
    <col min="15" max="15" width="3.5703125" customWidth="1"/>
  </cols>
  <sheetData>
    <row r="1" spans="2:27" ht="30" customHeight="1" x14ac:dyDescent="0.3">
      <c r="B1" s="42" t="s">
        <v>206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 t="s">
        <v>42</v>
      </c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2:27" ht="15" customHeight="1" x14ac:dyDescent="0.2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2:27" ht="15" customHeight="1" x14ac:dyDescent="0.25">
      <c r="B3" s="1" t="s">
        <v>1</v>
      </c>
      <c r="J3" s="39"/>
      <c r="K3" s="39"/>
      <c r="N3" s="41"/>
      <c r="O3" s="44" t="s">
        <v>0</v>
      </c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2:27" x14ac:dyDescent="0.25">
      <c r="B4" s="3" t="s">
        <v>3</v>
      </c>
      <c r="C4" s="3" t="s">
        <v>4</v>
      </c>
      <c r="D4" s="3" t="s">
        <v>5</v>
      </c>
      <c r="E4" s="3" t="s">
        <v>6</v>
      </c>
      <c r="F4" s="66" t="s">
        <v>90</v>
      </c>
      <c r="G4" s="67"/>
      <c r="H4" s="67"/>
      <c r="I4" s="3" t="s">
        <v>7</v>
      </c>
      <c r="J4" s="3"/>
      <c r="K4" s="3"/>
      <c r="L4" s="4"/>
      <c r="M4" s="17"/>
      <c r="N4" s="41"/>
      <c r="O4" s="41" t="s">
        <v>43</v>
      </c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2:27" x14ac:dyDescent="0.25">
      <c r="B5" s="39">
        <v>3</v>
      </c>
      <c r="C5" s="39" t="s">
        <v>9</v>
      </c>
      <c r="D5" s="177">
        <v>12.959999999999999</v>
      </c>
      <c r="E5" s="177">
        <v>13.888888888888891</v>
      </c>
      <c r="F5" t="s">
        <v>92</v>
      </c>
      <c r="G5" s="5"/>
      <c r="I5" s="38">
        <f>1/cj</f>
        <v>7.1999999999999995E-2</v>
      </c>
      <c r="N5" s="41"/>
      <c r="O5" s="41"/>
      <c r="P5" s="41" t="s">
        <v>11</v>
      </c>
      <c r="Q5" s="41"/>
      <c r="R5" s="41" t="s">
        <v>55</v>
      </c>
      <c r="S5" s="41"/>
      <c r="T5" s="41"/>
      <c r="U5" s="41"/>
      <c r="V5" s="41"/>
      <c r="W5" s="41"/>
      <c r="X5" s="41"/>
      <c r="Y5" s="41"/>
      <c r="Z5" s="41"/>
      <c r="AA5" s="41"/>
    </row>
    <row r="6" spans="2:27" x14ac:dyDescent="0.25">
      <c r="B6" s="39"/>
      <c r="C6" s="39" t="s">
        <v>10</v>
      </c>
      <c r="D6" s="177">
        <v>14.399999999999999</v>
      </c>
      <c r="E6" s="177">
        <v>12.5</v>
      </c>
      <c r="F6" t="s">
        <v>93</v>
      </c>
      <c r="G6" s="5"/>
      <c r="I6" s="38">
        <f>1/E6</f>
        <v>0.08</v>
      </c>
      <c r="N6" s="41"/>
      <c r="O6" s="41"/>
      <c r="P6" s="41" t="s">
        <v>44</v>
      </c>
      <c r="Q6" s="41"/>
      <c r="R6" s="41" t="s">
        <v>54</v>
      </c>
      <c r="S6" s="41"/>
      <c r="T6" s="41"/>
      <c r="U6" s="41"/>
      <c r="V6" s="41"/>
      <c r="W6" s="41"/>
      <c r="X6" s="41"/>
      <c r="Y6" s="41"/>
      <c r="Z6" s="41"/>
      <c r="AA6" s="41"/>
    </row>
    <row r="7" spans="2:27" x14ac:dyDescent="0.25">
      <c r="B7" s="4"/>
      <c r="C7" s="3" t="s">
        <v>207</v>
      </c>
      <c r="D7" s="178">
        <v>1.163</v>
      </c>
      <c r="E7" s="178">
        <v>50.001818181818173</v>
      </c>
      <c r="F7" s="4"/>
      <c r="G7" s="6"/>
      <c r="H7" s="4"/>
      <c r="I7" s="63">
        <f>1/E7</f>
        <v>1.9999272753718052E-2</v>
      </c>
      <c r="J7" s="4"/>
      <c r="K7" s="4"/>
      <c r="L7" s="4"/>
      <c r="M7" s="17"/>
      <c r="N7" s="41"/>
      <c r="O7" s="41"/>
      <c r="P7" s="41" t="s">
        <v>45</v>
      </c>
      <c r="Q7" s="41"/>
      <c r="R7" s="41" t="s">
        <v>52</v>
      </c>
      <c r="S7" s="41"/>
      <c r="T7" s="41"/>
      <c r="U7" s="41"/>
      <c r="V7" s="41"/>
      <c r="W7" s="41"/>
      <c r="X7" s="41"/>
      <c r="Y7" s="41"/>
      <c r="Z7" s="41"/>
      <c r="AA7" s="41"/>
    </row>
    <row r="8" spans="2:27" x14ac:dyDescent="0.25">
      <c r="C8" s="39"/>
      <c r="D8" s="179">
        <f>SUM(D5:D7)</f>
        <v>28.523</v>
      </c>
      <c r="F8" s="65" t="s">
        <v>49</v>
      </c>
      <c r="I8" s="38">
        <f>SUM(I5:I7)</f>
        <v>0.17199927275371804</v>
      </c>
      <c r="J8" s="5" t="s">
        <v>64</v>
      </c>
      <c r="N8" s="41"/>
      <c r="O8" s="41"/>
      <c r="P8" s="41" t="s">
        <v>49</v>
      </c>
      <c r="Q8" s="41"/>
      <c r="R8" s="41" t="s">
        <v>53</v>
      </c>
      <c r="S8" s="41"/>
      <c r="T8" s="41"/>
      <c r="U8" s="41"/>
      <c r="V8" s="41"/>
      <c r="W8" s="41"/>
      <c r="X8" s="41"/>
      <c r="Y8" s="41"/>
      <c r="Z8" s="41"/>
      <c r="AA8" s="41"/>
    </row>
    <row r="9" spans="2:27" x14ac:dyDescent="0.25">
      <c r="C9" s="39"/>
      <c r="D9" s="39"/>
      <c r="F9" s="5"/>
      <c r="I9" s="39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</row>
    <row r="10" spans="2:27" x14ac:dyDescent="0.25">
      <c r="B10" s="7" t="s">
        <v>89</v>
      </c>
      <c r="N10" s="41"/>
      <c r="O10" s="44" t="s">
        <v>51</v>
      </c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</row>
    <row r="11" spans="2:27" x14ac:dyDescent="0.25">
      <c r="C11" s="202" t="s">
        <v>12</v>
      </c>
      <c r="D11" s="203"/>
      <c r="E11" s="204"/>
      <c r="F11" s="205" t="s">
        <v>13</v>
      </c>
      <c r="G11" s="206"/>
      <c r="H11" s="206"/>
      <c r="I11" s="208" t="s">
        <v>197</v>
      </c>
      <c r="J11" s="209"/>
      <c r="K11" s="209"/>
      <c r="L11" s="209"/>
      <c r="M11" s="210"/>
      <c r="N11" s="41"/>
      <c r="O11" s="41" t="s">
        <v>46</v>
      </c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</row>
    <row r="12" spans="2:27" x14ac:dyDescent="0.25">
      <c r="B12" s="39" t="s">
        <v>15</v>
      </c>
      <c r="C12" s="8" t="s">
        <v>16</v>
      </c>
      <c r="D12" s="9" t="s">
        <v>8</v>
      </c>
      <c r="E12" s="10" t="s">
        <v>110</v>
      </c>
      <c r="F12" s="8" t="s">
        <v>16</v>
      </c>
      <c r="G12" s="9" t="s">
        <v>8</v>
      </c>
      <c r="H12" s="9" t="s">
        <v>110</v>
      </c>
      <c r="I12" s="8" t="s">
        <v>17</v>
      </c>
      <c r="J12" s="9" t="s">
        <v>16</v>
      </c>
      <c r="K12" s="9" t="s">
        <v>8</v>
      </c>
      <c r="L12" s="9" t="s">
        <v>110</v>
      </c>
      <c r="M12" s="185" t="s">
        <v>205</v>
      </c>
      <c r="N12" s="41"/>
      <c r="O12" s="41"/>
      <c r="P12" s="41" t="s">
        <v>11</v>
      </c>
      <c r="Q12" s="41"/>
      <c r="R12" s="41" t="s">
        <v>55</v>
      </c>
      <c r="S12" s="41"/>
      <c r="T12" s="41"/>
      <c r="U12" s="41"/>
      <c r="V12" s="41"/>
      <c r="W12" s="41"/>
      <c r="X12" s="41"/>
      <c r="Y12" s="41"/>
      <c r="Z12" s="41"/>
      <c r="AA12" s="41"/>
    </row>
    <row r="13" spans="2:27" x14ac:dyDescent="0.25">
      <c r="B13" s="39">
        <v>1</v>
      </c>
      <c r="C13" s="68">
        <f>D13/(2*cj)</f>
        <v>1.0268279999999999</v>
      </c>
      <c r="D13" s="13">
        <f>D8</f>
        <v>28.523</v>
      </c>
      <c r="E13" s="62">
        <f>D5*C$16-E5*C13^2</f>
        <v>17.146352941767859</v>
      </c>
      <c r="F13" s="68">
        <f>bj/(2*cj)</f>
        <v>0.46655999999999992</v>
      </c>
      <c r="G13" s="13">
        <f>2*cj*F13</f>
        <v>12.959999999999999</v>
      </c>
      <c r="H13" s="61">
        <f>bj*F$16-cj*F13^2</f>
        <v>10.63898811929748</v>
      </c>
      <c r="I13" s="59">
        <f>Aj+(bj-K13)*k/2</f>
        <v>0.6391754113183763</v>
      </c>
      <c r="J13" s="61">
        <f>K13/(2*cj)</f>
        <v>0.34227599999999991</v>
      </c>
      <c r="K13" s="13">
        <f>(1/B5)*D8</f>
        <v>9.5076666666666654</v>
      </c>
      <c r="L13" s="61">
        <f>bj*J16-cj*Aj^2+K13*(Aj-Tj)</f>
        <v>6.1468764602446049</v>
      </c>
      <c r="M13" s="186">
        <f>Aj/'GF Table 4'!H23</f>
        <v>6.3384444444444438E-2</v>
      </c>
      <c r="N13" s="41"/>
      <c r="O13" s="41"/>
      <c r="P13" s="41" t="s">
        <v>48</v>
      </c>
      <c r="Q13" s="41"/>
      <c r="R13" s="41" t="s">
        <v>54</v>
      </c>
      <c r="S13" s="41"/>
      <c r="T13" s="41"/>
      <c r="U13" s="41"/>
      <c r="V13" s="41"/>
      <c r="W13" s="41"/>
      <c r="X13" s="41"/>
      <c r="Y13" s="41"/>
      <c r="Z13" s="41"/>
      <c r="AA13" s="41"/>
    </row>
    <row r="14" spans="2:27" x14ac:dyDescent="0.25">
      <c r="B14" s="39">
        <v>2</v>
      </c>
      <c r="C14" s="68">
        <f>D14/(2*E6)</f>
        <v>1.1409199999999999</v>
      </c>
      <c r="D14" s="13">
        <f>D8</f>
        <v>28.523</v>
      </c>
      <c r="E14" s="62">
        <f>D6*C$16-E6*C14^2</f>
        <v>19.051503268630956</v>
      </c>
      <c r="F14" s="68">
        <f>D6/(2*E6)</f>
        <v>0.57599999999999996</v>
      </c>
      <c r="G14" s="13">
        <f>2*E6*F14</f>
        <v>14.399999999999999</v>
      </c>
      <c r="H14" s="61">
        <f>D6*F$16-E6*F14^2</f>
        <v>11.033129910330532</v>
      </c>
      <c r="I14" s="59">
        <f>J14+(D6-K14)*k/2</f>
        <v>0.80104555436771996</v>
      </c>
      <c r="J14" s="61">
        <f>K14/(2*E6)</f>
        <v>0.38030666666666663</v>
      </c>
      <c r="K14" s="13">
        <f>K13</f>
        <v>9.5076666666666654</v>
      </c>
      <c r="L14" s="61">
        <f>D6*J$16-E6*J14^2+K14*(J14-I14)</f>
        <v>5.966085009355715</v>
      </c>
      <c r="M14" s="186">
        <f>J14/'GF Table 4'!H24</f>
        <v>6.3384444444444438E-2</v>
      </c>
      <c r="N14" s="41"/>
      <c r="O14" s="41"/>
      <c r="P14" s="150" t="s">
        <v>47</v>
      </c>
      <c r="Q14" s="41"/>
      <c r="R14" s="41" t="s">
        <v>52</v>
      </c>
      <c r="S14" s="41"/>
      <c r="T14" s="41"/>
      <c r="U14" s="41"/>
      <c r="V14" s="41"/>
      <c r="W14" s="41"/>
      <c r="X14" s="41"/>
      <c r="Y14" s="41"/>
      <c r="Z14" s="41"/>
      <c r="AA14" s="41"/>
    </row>
    <row r="15" spans="2:27" x14ac:dyDescent="0.25">
      <c r="B15" s="3">
        <v>3</v>
      </c>
      <c r="C15" s="69">
        <f>D15/(2*E7)</f>
        <v>0.28521962837714998</v>
      </c>
      <c r="D15" s="16">
        <f>D8</f>
        <v>28.523</v>
      </c>
      <c r="E15" s="64">
        <f>D7*C$16-E7*C15^2</f>
        <v>-1.2148583782980995</v>
      </c>
      <c r="F15" s="69">
        <f>D7/(2*E7)</f>
        <v>1.1629577106287047E-2</v>
      </c>
      <c r="G15" s="16">
        <f>2*E7*F15</f>
        <v>1.163</v>
      </c>
      <c r="H15" s="63">
        <f>D7*F$16-E7*F15^2</f>
        <v>1.2192598790873059</v>
      </c>
      <c r="I15" s="60">
        <f>J15+(D7-K15)*k/2</f>
        <v>-0.62256508956037948</v>
      </c>
      <c r="J15" s="63">
        <f>K15/(2*E7)</f>
        <v>9.5073209459049984E-2</v>
      </c>
      <c r="K15" s="16">
        <f>K13</f>
        <v>9.5076666666666654</v>
      </c>
      <c r="L15" s="63">
        <f>D7*J$16-E7*J15^2+K15*(J15-I15)</f>
        <v>7.3220373260111886</v>
      </c>
      <c r="M15" s="114">
        <f>J15/'GF Table 4'!H25</f>
        <v>8.6430190417318156E-2</v>
      </c>
      <c r="N15" s="41"/>
      <c r="O15" s="44"/>
      <c r="P15" s="41" t="s">
        <v>49</v>
      </c>
      <c r="Q15" s="41"/>
      <c r="R15" s="41" t="s">
        <v>53</v>
      </c>
      <c r="S15" s="41"/>
      <c r="T15" s="41"/>
      <c r="U15" s="41"/>
      <c r="V15" s="41"/>
      <c r="W15" s="41"/>
      <c r="X15" s="41"/>
      <c r="Y15" s="41"/>
      <c r="Z15" s="41"/>
      <c r="AA15" s="41"/>
    </row>
    <row r="16" spans="2:27" x14ac:dyDescent="0.25">
      <c r="B16" s="39" t="s">
        <v>18</v>
      </c>
      <c r="C16" s="61">
        <f>SUM(C13:C15)</f>
        <v>2.4529676283771495</v>
      </c>
      <c r="D16" s="9"/>
      <c r="E16" s="61">
        <f>SUM(E13:E15)</f>
        <v>34.982997832100715</v>
      </c>
      <c r="F16" s="61">
        <f>SUM(F13:F15)</f>
        <v>1.054189577106287</v>
      </c>
      <c r="G16" s="12"/>
      <c r="H16" s="61">
        <f>SUM(H13:H15)</f>
        <v>22.891377908715317</v>
      </c>
      <c r="I16" s="61">
        <f t="shared" ref="I16:J16" si="0">SUM(I13:I15)</f>
        <v>0.81765587612571677</v>
      </c>
      <c r="J16" s="61">
        <f t="shared" si="0"/>
        <v>0.81765587612571655</v>
      </c>
      <c r="K16" s="9"/>
      <c r="L16" s="61">
        <f>SUM(L13:L15)</f>
        <v>19.434998795611509</v>
      </c>
      <c r="M16" s="86">
        <f>J16/'GF Table 4'!H$26</f>
        <v>6.5412470090057337E-2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</row>
    <row r="17" spans="1:27" x14ac:dyDescent="0.25">
      <c r="A17" s="46"/>
      <c r="B17" s="17"/>
      <c r="C17" s="9"/>
      <c r="D17" s="9"/>
      <c r="E17" s="9"/>
      <c r="F17" s="18"/>
      <c r="G17" s="9"/>
      <c r="H17" s="9"/>
      <c r="I17" s="9"/>
      <c r="J17" s="189">
        <f>J16/C16</f>
        <v>0.33333333333333337</v>
      </c>
      <c r="K17" s="188">
        <v>26.403966644427513</v>
      </c>
      <c r="L17" s="183" t="s">
        <v>222</v>
      </c>
      <c r="M17" s="184">
        <f>'GF Table 4'!W26</f>
        <v>0.18165852242619845</v>
      </c>
      <c r="N17" s="41"/>
      <c r="O17" s="44" t="s">
        <v>50</v>
      </c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</row>
    <row r="18" spans="1:27" x14ac:dyDescent="0.25">
      <c r="A18" s="53"/>
      <c r="B18" s="54"/>
      <c r="C18" s="55"/>
      <c r="D18" s="55"/>
      <c r="E18" s="55"/>
      <c r="F18" s="54"/>
      <c r="G18" s="55"/>
      <c r="H18" s="55"/>
      <c r="I18" s="55"/>
      <c r="J18" s="190"/>
      <c r="K18" s="55"/>
      <c r="L18" s="56"/>
      <c r="M18" s="56"/>
      <c r="N18" s="41"/>
      <c r="O18" s="41" t="s">
        <v>56</v>
      </c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</row>
    <row r="19" spans="1:27" x14ac:dyDescent="0.25">
      <c r="A19" s="54"/>
      <c r="B19" s="44" t="s">
        <v>66</v>
      </c>
      <c r="C19" s="41"/>
      <c r="D19" s="41"/>
      <c r="E19" s="41"/>
      <c r="F19" s="41"/>
      <c r="G19" s="41"/>
      <c r="H19" s="41"/>
      <c r="I19" s="44" t="s">
        <v>126</v>
      </c>
      <c r="J19" s="41"/>
      <c r="K19" s="41"/>
      <c r="L19" s="41"/>
      <c r="M19" s="41"/>
      <c r="N19" s="41"/>
      <c r="O19" s="41"/>
      <c r="P19" s="41" t="s">
        <v>59</v>
      </c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</row>
    <row r="20" spans="1:27" x14ac:dyDescent="0.25">
      <c r="B20" s="41" t="s">
        <v>86</v>
      </c>
      <c r="C20" s="41"/>
      <c r="D20" s="41"/>
      <c r="E20" s="41"/>
      <c r="F20" s="41"/>
      <c r="G20" s="41"/>
      <c r="H20" s="41"/>
      <c r="I20" s="208" t="s">
        <v>197</v>
      </c>
      <c r="J20" s="209"/>
      <c r="K20" s="209"/>
      <c r="L20" s="210"/>
      <c r="M20" s="187"/>
      <c r="N20" s="41"/>
      <c r="O20" s="41"/>
      <c r="P20" s="41" t="s">
        <v>57</v>
      </c>
      <c r="Q20" s="41"/>
      <c r="R20" s="41" t="s">
        <v>54</v>
      </c>
      <c r="S20" s="41"/>
      <c r="T20" s="41"/>
      <c r="U20" s="41"/>
      <c r="V20" s="41"/>
      <c r="W20" s="41"/>
      <c r="X20" s="41"/>
      <c r="Y20" s="41"/>
      <c r="Z20" s="41"/>
      <c r="AA20" s="41"/>
    </row>
    <row r="21" spans="1:27" x14ac:dyDescent="0.25">
      <c r="B21" s="41" t="s">
        <v>67</v>
      </c>
      <c r="C21" s="41"/>
      <c r="D21" s="41"/>
      <c r="E21" s="41"/>
      <c r="F21" s="41"/>
      <c r="G21" s="41"/>
      <c r="H21" s="41"/>
      <c r="I21" s="8" t="s">
        <v>17</v>
      </c>
      <c r="J21" s="9" t="s">
        <v>16</v>
      </c>
      <c r="K21" s="9" t="s">
        <v>8</v>
      </c>
      <c r="L21" s="10" t="s">
        <v>110</v>
      </c>
      <c r="M21" s="55"/>
      <c r="N21" s="41"/>
      <c r="O21" s="41"/>
      <c r="P21" s="150" t="s">
        <v>58</v>
      </c>
      <c r="Q21" s="41"/>
      <c r="R21" s="41" t="s">
        <v>52</v>
      </c>
      <c r="S21" s="41"/>
      <c r="T21" s="41"/>
      <c r="U21" s="41"/>
      <c r="V21" s="41"/>
      <c r="W21" s="41"/>
      <c r="X21" s="41"/>
      <c r="Y21" s="41"/>
      <c r="Z21" s="41"/>
      <c r="AA21" s="41"/>
    </row>
    <row r="22" spans="1:27" x14ac:dyDescent="0.25">
      <c r="B22" s="41"/>
      <c r="C22" s="41"/>
      <c r="D22" s="41"/>
      <c r="E22" s="41"/>
      <c r="F22" s="41"/>
      <c r="G22" s="41"/>
      <c r="H22" s="41"/>
      <c r="I22" s="11">
        <f>Tj+0.01*J31-0.01*K31</f>
        <v>0.6391754113183763</v>
      </c>
      <c r="J22" s="12">
        <f>E7*I25/(cj+E7+cj*E7/E6)</f>
        <v>0.34227599999999997</v>
      </c>
      <c r="K22" s="12">
        <f>2*cj*J22</f>
        <v>9.5076666666666672</v>
      </c>
      <c r="L22" s="180">
        <f>bj*J25-cj*J22^2+K22*(J22-I22)</f>
        <v>6.1468764602446031</v>
      </c>
      <c r="M22" s="56"/>
      <c r="N22" s="41"/>
      <c r="O22" s="41"/>
      <c r="P22" s="41" t="s">
        <v>60</v>
      </c>
      <c r="Q22" s="41"/>
      <c r="R22" s="41" t="s">
        <v>61</v>
      </c>
      <c r="S22" s="41"/>
      <c r="T22" s="41"/>
      <c r="U22" s="41"/>
      <c r="V22" s="41"/>
      <c r="W22" s="41"/>
      <c r="X22" s="41"/>
      <c r="Y22" s="41"/>
      <c r="Z22" s="41"/>
      <c r="AA22" s="41"/>
    </row>
    <row r="23" spans="1:27" x14ac:dyDescent="0.25">
      <c r="B23" s="50">
        <v>1</v>
      </c>
      <c r="C23" s="41" t="s">
        <v>211</v>
      </c>
      <c r="D23" s="41"/>
      <c r="E23" s="41" t="s">
        <v>188</v>
      </c>
      <c r="F23" s="41"/>
      <c r="G23" s="41"/>
      <c r="H23" s="41"/>
      <c r="I23" s="11">
        <f>I14+0.01*J32-0.01*K32</f>
        <v>0.80104555436771996</v>
      </c>
      <c r="J23" s="12">
        <f>cj*J22/E6</f>
        <v>0.38030666666666668</v>
      </c>
      <c r="K23" s="12">
        <f>K22</f>
        <v>9.5076666666666672</v>
      </c>
      <c r="L23" s="180">
        <f>D6*J$25-E6*J23^2+K23*(J23-I23)</f>
        <v>5.966085009355715</v>
      </c>
      <c r="M23" s="56"/>
      <c r="N23" s="41"/>
      <c r="O23" s="44"/>
      <c r="P23" s="41" t="s">
        <v>62</v>
      </c>
      <c r="Q23" s="41"/>
      <c r="R23" s="41" t="s">
        <v>63</v>
      </c>
      <c r="S23" s="41"/>
      <c r="T23" s="41"/>
      <c r="U23" s="41"/>
      <c r="V23" s="41"/>
      <c r="W23" s="41"/>
      <c r="X23" s="41"/>
      <c r="Y23" s="41"/>
      <c r="Z23" s="41"/>
      <c r="AA23" s="41"/>
    </row>
    <row r="24" spans="1:27" x14ac:dyDescent="0.25">
      <c r="B24" s="50">
        <v>2</v>
      </c>
      <c r="C24" s="41" t="s">
        <v>75</v>
      </c>
      <c r="D24" s="41"/>
      <c r="E24" s="41" t="s">
        <v>195</v>
      </c>
      <c r="F24" s="41"/>
      <c r="H24" s="41"/>
      <c r="I24" s="14">
        <f>I15+0.01*J33-0.01*K33</f>
        <v>-0.62256508956037948</v>
      </c>
      <c r="J24" s="15">
        <f>cj*J22/E7</f>
        <v>9.5073209459049998E-2</v>
      </c>
      <c r="K24" s="15">
        <f>K22</f>
        <v>9.5076666666666672</v>
      </c>
      <c r="L24" s="181">
        <f>D7*J$25-E7*J24^2+K24*(J24-I24)</f>
        <v>7.3220373260111895</v>
      </c>
      <c r="M24" s="56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</row>
    <row r="25" spans="1:27" x14ac:dyDescent="0.25">
      <c r="B25" s="39">
        <v>3</v>
      </c>
      <c r="C25" t="s">
        <v>209</v>
      </c>
      <c r="E25" s="41" t="s">
        <v>188</v>
      </c>
      <c r="H25" s="41"/>
      <c r="I25" s="52">
        <f>SUM(I22:I24)</f>
        <v>0.81765587612571677</v>
      </c>
      <c r="J25" s="52">
        <f>SUM(J22:J24)</f>
        <v>0.81765587612571655</v>
      </c>
      <c r="K25" s="50"/>
      <c r="L25" s="39"/>
      <c r="M25" s="50"/>
      <c r="N25" s="41"/>
      <c r="O25" s="41"/>
      <c r="P25" s="197" t="s">
        <v>223</v>
      </c>
      <c r="Q25" s="198"/>
      <c r="R25" s="199"/>
      <c r="S25" s="198"/>
      <c r="T25" s="200"/>
      <c r="U25" s="41"/>
      <c r="V25" s="41"/>
      <c r="W25" s="41"/>
      <c r="X25" s="41"/>
      <c r="Y25" s="41"/>
      <c r="Z25" s="41"/>
      <c r="AA25" s="41"/>
    </row>
    <row r="26" spans="1:27" x14ac:dyDescent="0.25">
      <c r="B26" s="50">
        <v>4</v>
      </c>
      <c r="C26" s="41" t="s">
        <v>208</v>
      </c>
      <c r="D26" s="41"/>
      <c r="E26" s="41" t="s">
        <v>189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201"/>
      <c r="Q26" s="195" t="s">
        <v>226</v>
      </c>
      <c r="R26" s="195" t="s">
        <v>227</v>
      </c>
      <c r="S26" s="195" t="s">
        <v>26</v>
      </c>
      <c r="T26" s="196" t="s">
        <v>228</v>
      </c>
      <c r="U26" s="41"/>
      <c r="V26" s="41"/>
      <c r="W26" s="41"/>
      <c r="X26" s="41"/>
      <c r="Y26" s="41"/>
      <c r="Z26" s="41"/>
      <c r="AA26" s="41"/>
    </row>
    <row r="27" spans="1:27" x14ac:dyDescent="0.25">
      <c r="B27" s="39">
        <v>5</v>
      </c>
      <c r="C27" s="41" t="s">
        <v>210</v>
      </c>
      <c r="E27" s="41" t="s">
        <v>215</v>
      </c>
      <c r="G27" s="41"/>
      <c r="H27" s="41"/>
      <c r="I27" s="41" t="s">
        <v>82</v>
      </c>
      <c r="J27" s="41"/>
      <c r="K27" s="41"/>
      <c r="L27" s="41"/>
      <c r="M27" s="41"/>
      <c r="N27" s="41"/>
      <c r="O27" s="41"/>
      <c r="P27" s="191" t="s">
        <v>224</v>
      </c>
      <c r="Q27" s="166">
        <f>'GF Table 4'!M23</f>
        <v>26.403966644427513</v>
      </c>
      <c r="R27" s="192">
        <f>Q27/D$13</f>
        <v>0.9257079074581045</v>
      </c>
      <c r="S27" s="193">
        <f>'GF Table 4'!O23</f>
        <v>2.2707315303274802</v>
      </c>
      <c r="T27" s="194">
        <f>S27/C$16</f>
        <v>0.92570790745810438</v>
      </c>
      <c r="U27" s="41"/>
      <c r="V27" s="41"/>
      <c r="W27" s="41"/>
      <c r="X27" s="41"/>
      <c r="Y27" s="41"/>
      <c r="Z27" s="41"/>
      <c r="AA27" s="41"/>
    </row>
    <row r="28" spans="1:27" x14ac:dyDescent="0.25">
      <c r="B28" s="50">
        <v>6</v>
      </c>
      <c r="C28" s="41" t="s">
        <v>212</v>
      </c>
      <c r="F28" t="s">
        <v>216</v>
      </c>
      <c r="H28" s="41"/>
      <c r="I28" s="41" t="s">
        <v>83</v>
      </c>
      <c r="J28" s="41"/>
      <c r="K28" s="41"/>
      <c r="L28" s="41"/>
      <c r="M28" s="41"/>
      <c r="N28" s="41"/>
      <c r="O28" s="41"/>
      <c r="P28" s="191" t="s">
        <v>225</v>
      </c>
      <c r="Q28" s="166">
        <f>K15</f>
        <v>9.5076666666666654</v>
      </c>
      <c r="R28" s="192">
        <f>Q28/D$13</f>
        <v>0.33333333333333331</v>
      </c>
      <c r="S28" s="166">
        <f>J16</f>
        <v>0.81765587612571655</v>
      </c>
      <c r="T28" s="194">
        <f>S28/C$16</f>
        <v>0.33333333333333337</v>
      </c>
      <c r="U28" s="41"/>
      <c r="V28" s="41"/>
      <c r="W28" s="41"/>
      <c r="X28" s="41"/>
      <c r="Y28" s="41"/>
      <c r="Z28" s="41"/>
      <c r="AA28" s="41"/>
    </row>
    <row r="29" spans="1:27" x14ac:dyDescent="0.25">
      <c r="B29" s="39">
        <v>7</v>
      </c>
      <c r="C29" s="41" t="s">
        <v>213</v>
      </c>
      <c r="F29" t="s">
        <v>217</v>
      </c>
      <c r="G29" s="41"/>
      <c r="H29" s="41"/>
      <c r="I29" s="41" t="s">
        <v>87</v>
      </c>
      <c r="J29" s="41"/>
      <c r="K29" s="41"/>
      <c r="L29" s="41"/>
      <c r="M29" s="41"/>
      <c r="N29" s="41"/>
      <c r="O29" s="41"/>
      <c r="P29" s="201" t="s">
        <v>12</v>
      </c>
      <c r="Q29" s="167">
        <f>D14</f>
        <v>28.523</v>
      </c>
      <c r="R29" s="195"/>
      <c r="S29" s="167">
        <f>C16</f>
        <v>2.4529676283771495</v>
      </c>
      <c r="T29" s="196"/>
      <c r="U29" s="41"/>
      <c r="V29" s="41"/>
      <c r="W29" s="41"/>
      <c r="X29" s="41"/>
      <c r="Y29" s="41"/>
      <c r="Z29" s="41"/>
      <c r="AA29" s="41"/>
    </row>
    <row r="30" spans="1:27" x14ac:dyDescent="0.25">
      <c r="B30" s="50">
        <v>8</v>
      </c>
      <c r="C30" s="41" t="s">
        <v>214</v>
      </c>
      <c r="F30" t="s">
        <v>218</v>
      </c>
      <c r="H30" s="41"/>
      <c r="I30" s="41"/>
      <c r="J30" s="50" t="s">
        <v>85</v>
      </c>
      <c r="K30" s="50" t="s">
        <v>84</v>
      </c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</row>
    <row r="31" spans="1:27" x14ac:dyDescent="0.25">
      <c r="B31" s="50">
        <v>9</v>
      </c>
      <c r="C31" s="41" t="s">
        <v>219</v>
      </c>
      <c r="D31" s="41"/>
      <c r="E31" s="41" t="s">
        <v>220</v>
      </c>
      <c r="F31" s="41"/>
      <c r="G31" s="41"/>
      <c r="H31" s="41"/>
      <c r="I31" s="51" t="s">
        <v>9</v>
      </c>
      <c r="J31" s="47">
        <v>0</v>
      </c>
      <c r="K31" s="47">
        <v>0</v>
      </c>
      <c r="L31" s="41"/>
      <c r="M31" s="41"/>
      <c r="N31" s="41"/>
      <c r="O31" s="44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</row>
    <row r="32" spans="1:27" x14ac:dyDescent="0.25">
      <c r="B32" s="50">
        <v>10</v>
      </c>
      <c r="C32" s="41" t="s">
        <v>76</v>
      </c>
      <c r="D32" s="41"/>
      <c r="E32" s="41" t="s">
        <v>196</v>
      </c>
      <c r="F32" s="41"/>
      <c r="G32" s="41"/>
      <c r="H32" s="41"/>
      <c r="I32" s="51" t="s">
        <v>10</v>
      </c>
      <c r="J32" s="47">
        <v>0</v>
      </c>
      <c r="K32" s="47">
        <v>0</v>
      </c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</row>
    <row r="33" spans="7:27" x14ac:dyDescent="0.25">
      <c r="G33" s="41"/>
      <c r="H33" s="41"/>
      <c r="I33" s="51" t="s">
        <v>207</v>
      </c>
      <c r="J33" s="47">
        <v>0</v>
      </c>
      <c r="K33" s="47">
        <v>0</v>
      </c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</row>
    <row r="34" spans="7:27" x14ac:dyDescent="0.25">
      <c r="H34" s="41"/>
      <c r="I34" s="41"/>
      <c r="J34" s="41"/>
      <c r="K34" s="41"/>
      <c r="L34" s="41"/>
      <c r="M34" s="41"/>
      <c r="N34" s="41"/>
      <c r="U34" s="41"/>
      <c r="V34" s="41"/>
    </row>
    <row r="35" spans="7:27" x14ac:dyDescent="0.25">
      <c r="H35" s="41"/>
      <c r="I35" s="41"/>
      <c r="J35" s="41"/>
      <c r="K35" s="41"/>
      <c r="L35" s="41"/>
      <c r="M35" s="41"/>
      <c r="N35" s="41"/>
      <c r="U35" s="41"/>
      <c r="V35" s="41"/>
    </row>
    <row r="37" spans="7:27" x14ac:dyDescent="0.25">
      <c r="O37" s="5"/>
    </row>
    <row r="39" spans="7:27" x14ac:dyDescent="0.25">
      <c r="O39" s="5"/>
    </row>
    <row r="41" spans="7:27" x14ac:dyDescent="0.25">
      <c r="O41" s="5"/>
    </row>
    <row r="43" spans="7:27" x14ac:dyDescent="0.25">
      <c r="O43" s="5"/>
    </row>
    <row r="44" spans="7:27" x14ac:dyDescent="0.25">
      <c r="O44" s="5"/>
    </row>
  </sheetData>
  <mergeCells count="4">
    <mergeCell ref="C11:E11"/>
    <mergeCell ref="F11:H11"/>
    <mergeCell ref="I20:L20"/>
    <mergeCell ref="I11:M11"/>
  </mergeCells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27</vt:i4>
      </vt:variant>
    </vt:vector>
  </HeadingPairs>
  <TitlesOfParts>
    <vt:vector size="34" baseType="lpstr">
      <vt:lpstr>Contents</vt:lpstr>
      <vt:lpstr>Table 2</vt:lpstr>
      <vt:lpstr>Negative</vt:lpstr>
      <vt:lpstr>Table 3</vt:lpstr>
      <vt:lpstr>GF Table 4</vt:lpstr>
      <vt:lpstr>Table4 Check</vt:lpstr>
      <vt:lpstr>GF v CT</vt:lpstr>
      <vt:lpstr>'GF v CT'!Aj</vt:lpstr>
      <vt:lpstr>Negative!Aj</vt:lpstr>
      <vt:lpstr>'Table 2'!Aj</vt:lpstr>
      <vt:lpstr>'Table 3'!Aj</vt:lpstr>
      <vt:lpstr>'GF Table 4'!bj</vt:lpstr>
      <vt:lpstr>'GF v CT'!bj</vt:lpstr>
      <vt:lpstr>Negative!bj</vt:lpstr>
      <vt:lpstr>'Table 2'!bj</vt:lpstr>
      <vt:lpstr>'Table 3'!bj</vt:lpstr>
      <vt:lpstr>'GF v CT'!cj</vt:lpstr>
      <vt:lpstr>Negative!cj</vt:lpstr>
      <vt:lpstr>'Table 2'!cj</vt:lpstr>
      <vt:lpstr>'Table 3'!cj</vt:lpstr>
      <vt:lpstr>'GF v CT'!dPdTj</vt:lpstr>
      <vt:lpstr>dPdTj</vt:lpstr>
      <vt:lpstr>'GF Table 4'!G</vt:lpstr>
      <vt:lpstr>'GF v CT'!k</vt:lpstr>
      <vt:lpstr>Negative!k</vt:lpstr>
      <vt:lpstr>'Table 2'!k</vt:lpstr>
      <vt:lpstr>'Table 3'!k</vt:lpstr>
      <vt:lpstr>'GF v CT'!P</vt:lpstr>
      <vt:lpstr>'Table 2'!P</vt:lpstr>
      <vt:lpstr>sj</vt:lpstr>
      <vt:lpstr>'GF v CT'!Tj</vt:lpstr>
      <vt:lpstr>Negative!Tj</vt:lpstr>
      <vt:lpstr>'Table 3'!Tj</vt:lpstr>
      <vt:lpstr>Tj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Stoft</dc:creator>
  <cp:lastModifiedBy>Peter Cramton</cp:lastModifiedBy>
  <dcterms:created xsi:type="dcterms:W3CDTF">2011-05-03T00:25:19Z</dcterms:created>
  <dcterms:modified xsi:type="dcterms:W3CDTF">2011-06-06T13:36:42Z</dcterms:modified>
</cp:coreProperties>
</file>